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spu\Documents\GSDB THOMPSON 6383\vespu\Desktop\ASU\Dark Data\"/>
    </mc:Choice>
  </mc:AlternateContent>
  <xr:revisionPtr revIDLastSave="0" documentId="13_ncr:1_{1E5F0A79-9708-46DD-B8F1-18EA48EEB30B}" xr6:coauthVersionLast="47" xr6:coauthVersionMax="47" xr10:uidLastSave="{00000000-0000-0000-0000-000000000000}"/>
  <bookViews>
    <workbookView xWindow="-108" yWindow="-108" windowWidth="23256" windowHeight="12456" xr2:uid="{6A189C2E-1629-4BF4-B018-BA500121E7D5}"/>
  </bookViews>
  <sheets>
    <sheet name="Plan" sheetId="6" r:id="rId1"/>
    <sheet name="Exo-Planets" sheetId="1" r:id="rId2"/>
    <sheet name="Stellar_Sytems" sheetId="2" state="hidden" r:id="rId3"/>
    <sheet name="Vessel" sheetId="3" r:id="rId4"/>
    <sheet name="Shielding" sheetId="7" r:id="rId5"/>
    <sheet name="Engine" sheetId="4" r:id="rId6"/>
    <sheet name="Calculator" sheetId="5" state="hidden" r:id="rId7"/>
    <sheet name="RefData" sheetId="9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0" i="1" l="1"/>
  <c r="M17" i="3"/>
  <c r="T5" i="9"/>
  <c r="T6" i="9"/>
  <c r="T7" i="9"/>
  <c r="T8" i="9"/>
  <c r="T4" i="9"/>
  <c r="C14" i="5"/>
  <c r="C13" i="5"/>
  <c r="C12" i="5"/>
  <c r="C11" i="5"/>
  <c r="V11" i="5" s="1"/>
  <c r="C10" i="5"/>
  <c r="I10" i="5" s="1"/>
  <c r="C9" i="5"/>
  <c r="H9" i="5" s="1"/>
  <c r="W11" i="5" l="1"/>
  <c r="V3" i="5" s="1"/>
  <c r="K10" i="5"/>
  <c r="M5" i="5" s="1"/>
  <c r="U5" i="5" s="1"/>
  <c r="Q9" i="5"/>
  <c r="U9" i="5"/>
  <c r="T9" i="5"/>
  <c r="S9" i="5"/>
  <c r="R9" i="5"/>
  <c r="P9" i="5"/>
  <c r="O9" i="5"/>
  <c r="N9" i="5"/>
  <c r="M9" i="5"/>
  <c r="L10" i="5"/>
  <c r="J10" i="5"/>
  <c r="I9" i="5"/>
  <c r="L9" i="5"/>
  <c r="J9" i="5"/>
  <c r="S5" i="5" l="1"/>
  <c r="T5" i="5"/>
  <c r="Q5" i="5"/>
  <c r="R5" i="5"/>
  <c r="O5" i="5"/>
  <c r="P5" i="5"/>
  <c r="N5" i="5"/>
  <c r="M4" i="5"/>
  <c r="S4" i="5" s="1"/>
  <c r="L4" i="5" a="1"/>
  <c r="L4" i="5" s="1"/>
  <c r="S3" i="5" l="1"/>
  <c r="N4" i="5"/>
  <c r="N3" i="5" s="1"/>
  <c r="Q4" i="5"/>
  <c r="Q3" i="5" s="1"/>
  <c r="R4" i="5"/>
  <c r="R3" i="5" s="1"/>
  <c r="P4" i="5"/>
  <c r="P3" i="5" s="1"/>
  <c r="O4" i="5"/>
  <c r="O3" i="5" s="1"/>
  <c r="U4" i="5"/>
  <c r="U3" i="5" s="1"/>
  <c r="T4" i="5"/>
  <c r="T3" i="5" s="1"/>
  <c r="M3" i="5" l="1"/>
  <c r="H10" i="5" l="1"/>
  <c r="F122" i="1"/>
  <c r="F121" i="1"/>
  <c r="F124" i="1"/>
  <c r="F125" i="1"/>
  <c r="F126" i="1"/>
  <c r="F127" i="1"/>
  <c r="F128" i="1"/>
  <c r="F129" i="1"/>
  <c r="F123" i="1"/>
  <c r="F120" i="1"/>
  <c r="F116" i="1"/>
  <c r="F117" i="1"/>
  <c r="F118" i="1"/>
  <c r="F119" i="1"/>
  <c r="F115" i="1"/>
  <c r="F49" i="1"/>
  <c r="F6" i="1"/>
  <c r="F3" i="1"/>
  <c r="F4" i="1"/>
  <c r="F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G10" i="5" l="1"/>
  <c r="G11" i="5"/>
  <c r="G12" i="5"/>
  <c r="G13" i="5"/>
  <c r="G14" i="5"/>
  <c r="G9" i="5"/>
  <c r="E13" i="5"/>
  <c r="E14" i="5"/>
  <c r="E12" i="5"/>
  <c r="H4" i="5" s="1"/>
  <c r="F10" i="5"/>
  <c r="F11" i="5"/>
  <c r="F12" i="5"/>
  <c r="F4" i="5" s="1" a="1"/>
  <c r="F4" i="5" s="1"/>
  <c r="F13" i="5"/>
  <c r="F14" i="5"/>
  <c r="F9" i="5"/>
  <c r="E10" i="5" a="1"/>
  <c r="E10" i="5" s="1"/>
  <c r="E11" i="5" a="1"/>
  <c r="E11" i="5" s="1"/>
  <c r="E9" i="5" a="1"/>
  <c r="E9" i="5" s="1"/>
  <c r="D10" i="5"/>
  <c r="D11" i="5"/>
  <c r="D12" i="5"/>
  <c r="D13" i="5"/>
  <c r="D14" i="5"/>
  <c r="D9" i="5"/>
  <c r="M11" i="3"/>
  <c r="M12" i="3"/>
  <c r="M4" i="3"/>
  <c r="M14" i="3"/>
  <c r="M6" i="3"/>
  <c r="M16" i="3"/>
  <c r="M8" i="3"/>
  <c r="M10" i="3"/>
  <c r="M15" i="3"/>
  <c r="M7" i="3"/>
  <c r="M9" i="3"/>
  <c r="M13" i="3"/>
  <c r="M5" i="3"/>
  <c r="I4" i="5" l="1"/>
  <c r="J4" i="5" s="1"/>
  <c r="J2" i="5" s="1"/>
  <c r="G4" i="5" a="1"/>
  <c r="G4" i="5" s="1"/>
  <c r="E4" i="5"/>
  <c r="E2" i="5" l="1"/>
  <c r="C2" i="5" s="1" a="1"/>
  <c r="C2" i="5" s="1"/>
  <c r="L4" i="6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<sst xmlns="http://schemas.openxmlformats.org/spreadsheetml/2006/main" count="935" uniqueCount="319">
  <si>
    <t>Host star system</t>
  </si>
  <si>
    <t>Name</t>
  </si>
  <si>
    <t>Mass</t>
  </si>
  <si>
    <t>Label</t>
  </si>
  <si>
    <t>Radius</t>
  </si>
  <si>
    <t>Eccentricity</t>
  </si>
  <si>
    <t>Inclination</t>
  </si>
  <si>
    <t>Discovery year</t>
  </si>
  <si>
    <t>—</t>
  </si>
  <si>
    <t>d</t>
  </si>
  <si>
    <t>&gt;0.26</t>
  </si>
  <si>
    <t>&gt;1.2</t>
  </si>
  <si>
    <t>c</t>
  </si>
  <si>
    <t>&gt;3.8</t>
  </si>
  <si>
    <t>b</t>
  </si>
  <si>
    <t>&gt;43.9</t>
  </si>
  <si>
    <t>Lalande 21185</t>
  </si>
  <si>
    <t>&gt;2.7</t>
  </si>
  <si>
    <t>&gt;24.7</t>
  </si>
  <si>
    <t>Epsilon Eridani</t>
  </si>
  <si>
    <t>Ægir</t>
  </si>
  <si>
    <t>&gt;4.2</t>
  </si>
  <si>
    <t>&gt;7.6</t>
  </si>
  <si>
    <t>Ross 128</t>
  </si>
  <si>
    <t>&gt;1.4</t>
  </si>
  <si>
    <t>&gt;15.7</t>
  </si>
  <si>
    <t>&gt;13.1</t>
  </si>
  <si>
    <t>&gt;3.03</t>
  </si>
  <si>
    <t>~61?</t>
  </si>
  <si>
    <t>&gt;36</t>
  </si>
  <si>
    <t>Epsilon Indi A</t>
  </si>
  <si>
    <t>Tau Ceti#</t>
  </si>
  <si>
    <t>g</t>
  </si>
  <si>
    <t>&gt;1.75</t>
  </si>
  <si>
    <t>~35?</t>
  </si>
  <si>
    <t>h</t>
  </si>
  <si>
    <t>&gt;1.8</t>
  </si>
  <si>
    <t>e</t>
  </si>
  <si>
    <t>&gt;3.9</t>
  </si>
  <si>
    <t>Gliese 1061#</t>
  </si>
  <si>
    <t>&lt;0.31</t>
  </si>
  <si>
    <t>&gt;1.7</t>
  </si>
  <si>
    <t>&lt;0.29</t>
  </si>
  <si>
    <t>&gt;1.6</t>
  </si>
  <si>
    <t>&lt;0.54</t>
  </si>
  <si>
    <t>YZ Ceti#</t>
  </si>
  <si>
    <t>&gt;0.75</t>
  </si>
  <si>
    <t>&gt;1.1</t>
  </si>
  <si>
    <t>&gt;2.2</t>
  </si>
  <si>
    <t>&gt;10.8</t>
  </si>
  <si>
    <t>&gt;9.3</t>
  </si>
  <si>
    <t>&gt;3.6</t>
  </si>
  <si>
    <t>&gt;6.5</t>
  </si>
  <si>
    <t>TZ Arietis</t>
  </si>
  <si>
    <t>&gt;67</t>
  </si>
  <si>
    <t>&gt;17.2</t>
  </si>
  <si>
    <t>&gt;16.0</t>
  </si>
  <si>
    <t>Gliese 674</t>
  </si>
  <si>
    <t>&gt;11.2</t>
  </si>
  <si>
    <t>&gt;206</t>
  </si>
  <si>
    <t>&gt;2.0</t>
  </si>
  <si>
    <t>&gt;2.3</t>
  </si>
  <si>
    <t>Gliese 251</t>
  </si>
  <si>
    <t>&gt;4.0</t>
  </si>
  <si>
    <t>&gt;10.3</t>
  </si>
  <si>
    <t>&gt;13.8</t>
  </si>
  <si>
    <t>&gt;7.3</t>
  </si>
  <si>
    <t>&gt;8.5</t>
  </si>
  <si>
    <t>Gliese 754</t>
  </si>
  <si>
    <t>&gt;9.8</t>
  </si>
  <si>
    <t>Gliese 752 A</t>
  </si>
  <si>
    <t>&gt;13.6</t>
  </si>
  <si>
    <t>&gt;2.4</t>
  </si>
  <si>
    <t>~0</t>
  </si>
  <si>
    <t>&gt;4.8</t>
  </si>
  <si>
    <t>Gliese 784</t>
  </si>
  <si>
    <t>&gt;9.4</t>
  </si>
  <si>
    <t>Gliese 555</t>
  </si>
  <si>
    <t>&gt;30.1</t>
  </si>
  <si>
    <t>~45?</t>
  </si>
  <si>
    <t>&gt;16</t>
  </si>
  <si>
    <t>&gt;5.5</t>
  </si>
  <si>
    <t>Gliese 338 B</t>
  </si>
  <si>
    <t>Gliese 625</t>
  </si>
  <si>
    <t>&gt;2.8</t>
  </si>
  <si>
    <t>~0.1</t>
  </si>
  <si>
    <t>~87?</t>
  </si>
  <si>
    <t>f</t>
  </si>
  <si>
    <t>&gt;11</t>
  </si>
  <si>
    <t>h (e)</t>
  </si>
  <si>
    <t>&gt;108</t>
  </si>
  <si>
    <t>LTT 1445 A</t>
  </si>
  <si>
    <t>&lt;0.22</t>
  </si>
  <si>
    <t>&lt;0.11</t>
  </si>
  <si>
    <t>Gliese 880</t>
  </si>
  <si>
    <t>Gliese 393</t>
  </si>
  <si>
    <t>&gt;1.71</t>
  </si>
  <si>
    <t>Gliese 667 C#</t>
  </si>
  <si>
    <t>&gt;5.4</t>
  </si>
  <si>
    <t>~52?</t>
  </si>
  <si>
    <t>~1.5?</t>
  </si>
  <si>
    <t>Gliese 514</t>
  </si>
  <si>
    <t>&gt;5.2</t>
  </si>
  <si>
    <t>Gliese 486</t>
  </si>
  <si>
    <t>&lt;0.05</t>
  </si>
  <si>
    <t>Gliese 300</t>
  </si>
  <si>
    <t>&gt;6.8</t>
  </si>
  <si>
    <t>Gliese 686</t>
  </si>
  <si>
    <t>&gt;7.1</t>
  </si>
  <si>
    <t>61 Virginis#</t>
  </si>
  <si>
    <t>&gt;5.1</t>
  </si>
  <si>
    <t>~77?</t>
  </si>
  <si>
    <t>&gt;18</t>
  </si>
  <si>
    <t>CD Ceti</t>
  </si>
  <si>
    <t>&gt;3.95</t>
  </si>
  <si>
    <t>Gliese 785#</t>
  </si>
  <si>
    <t>&gt;17</t>
  </si>
  <si>
    <t>&gt;24</t>
  </si>
  <si>
    <t>~0.3</t>
  </si>
  <si>
    <t>Gliese 849#</t>
  </si>
  <si>
    <t>&gt;270</t>
  </si>
  <si>
    <t>&gt;300</t>
  </si>
  <si>
    <t>Gliese 433#</t>
  </si>
  <si>
    <t>&gt;6.0</t>
  </si>
  <si>
    <t>&gt;32</t>
  </si>
  <si>
    <t>Gliese 3325</t>
  </si>
  <si>
    <t>&gt;11.8</t>
  </si>
  <si>
    <t>HD 102365 A</t>
  </si>
  <si>
    <t>Gliese 367</t>
  </si>
  <si>
    <t>Gliese 357#</t>
  </si>
  <si>
    <t>~89?</t>
  </si>
  <si>
    <t>&gt;7.7</t>
  </si>
  <si>
    <t>Gliese 176#</t>
  </si>
  <si>
    <t>&gt;8.0</t>
  </si>
  <si>
    <t>&gt;7.4</t>
  </si>
  <si>
    <t>Gliese 479</t>
  </si>
  <si>
    <t>Gliese 3512#</t>
  </si>
  <si>
    <t>&gt;147</t>
  </si>
  <si>
    <t>&gt;54</t>
  </si>
  <si>
    <t>&gt;1390</t>
  </si>
  <si>
    <t>AU Microscopii#</t>
  </si>
  <si>
    <t>&lt;28</t>
  </si>
  <si>
    <t>Gliese 436</t>
  </si>
  <si>
    <t>Gliese 49</t>
  </si>
  <si>
    <t>&gt;16.4</t>
  </si>
  <si>
    <t>HD 260655#</t>
  </si>
  <si>
    <t>Proxima Centauri</t>
  </si>
  <si>
    <t>Wolf 359</t>
  </si>
  <si>
    <t>Luyten's Star</t>
  </si>
  <si>
    <t>Apparent Magnitude</t>
  </si>
  <si>
    <t>Planet</t>
  </si>
  <si>
    <t>Orbital (days)</t>
  </si>
  <si>
    <t>Semi-major axis (AU)</t>
  </si>
  <si>
    <t>Distance (LY)</t>
  </si>
  <si>
    <t>Teegarden's Star</t>
  </si>
  <si>
    <t>Wolf 1061</t>
  </si>
  <si>
    <t>Gliese 687</t>
  </si>
  <si>
    <t>Gliese 876</t>
  </si>
  <si>
    <t>Gliese 832</t>
  </si>
  <si>
    <t>Gliese 3323</t>
  </si>
  <si>
    <t>Gliese 205</t>
  </si>
  <si>
    <t>Gliese 588</t>
  </si>
  <si>
    <t>82 G. Eridani</t>
  </si>
  <si>
    <t>Gliese 229 A</t>
  </si>
  <si>
    <t>HD 219134</t>
  </si>
  <si>
    <t>Multi-Planetary</t>
  </si>
  <si>
    <t>Habitable</t>
  </si>
  <si>
    <t>Mass (Earth Masses)</t>
  </si>
  <si>
    <t>Companion Exoplanet (in order from star)</t>
  </si>
  <si>
    <t>Groombridge 34 A</t>
  </si>
  <si>
    <t>Lacaille 9352</t>
  </si>
  <si>
    <t>Struve 2398 B</t>
  </si>
  <si>
    <t>Gliese 581</t>
  </si>
  <si>
    <t>Surface Temperature (C)</t>
  </si>
  <si>
    <t>Barnard's Star</t>
  </si>
  <si>
    <t>&gt;3.23</t>
  </si>
  <si>
    <t>&gt;1.36</t>
  </si>
  <si>
    <t>&gt;1.44</t>
  </si>
  <si>
    <t>Surface Gravity</t>
  </si>
  <si>
    <t>&gt;2.52</t>
  </si>
  <si>
    <t>&gt;3.52</t>
  </si>
  <si>
    <t>HD 40307</t>
  </si>
  <si>
    <t>&gt;3.5</t>
  </si>
  <si>
    <t>&gt;9.2</t>
  </si>
  <si>
    <t>TRAPPIST-1</t>
  </si>
  <si>
    <t>HD 85512</t>
  </si>
  <si>
    <t>Gilese 180</t>
  </si>
  <si>
    <t>System</t>
  </si>
  <si>
    <t>Distance (ly)</t>
  </si>
  <si>
    <t>Remarks</t>
  </si>
  <si>
    <t>Alpha Centauri</t>
  </si>
  <si>
    <t>Closest system. Three stars (G2, K1, M5). Component A is similar to the Sun (a G2 star). On August 24, 2016, the discovery of an Earth-size exoplanet (Proxima Centauri b) orbiting in the habitable zone of Proxima Centauri was announced.</t>
  </si>
  <si>
    <t>Small, low-luminosity M5 red dwarf. Second closest to Solar System.</t>
  </si>
  <si>
    <t>Sirius</t>
  </si>
  <si>
    <t>Large, very bright A1 star with a white dwarf companion.</t>
  </si>
  <si>
    <t>Single K2 star slightly smaller and colder than the Sun. It has two asteroid belts, might have a giant and one much smaller planet,[16] and may possess a Solar-System-type planetary system.</t>
  </si>
  <si>
    <t>Tau Ceti</t>
  </si>
  <si>
    <t>Single G8 star similar to the Sun. High probability of possessing a Solar-System-type planetary system: current evidence shows 5 planets with potentially two in the habitable zone.</t>
  </si>
  <si>
    <t>M3 red dwarf with the super-Earth Luyten b orbiting in the habitable zone.</t>
  </si>
  <si>
    <t>~14</t>
  </si>
  <si>
    <t>Wolf 1061 c is 1.6 times the size of Earth; it may have rocky terrain. It also sits within the 'Goldilocks' zone where it might be possible for liquid water to exist.[17]</t>
  </si>
  <si>
    <t>Multiple planet system. The unconfirmed exoplanet Gliese 581g and the confirmed exoplanet Gliese 581d are in the star's habitable zone.</t>
  </si>
  <si>
    <t>Gliese 667C</t>
  </si>
  <si>
    <t>A system with at least six planets. A record-breaking three of these planets are super-Earths lying in the zone around the star where liquid water could exist, making them possible candidates for the presence of life.[18]</t>
  </si>
  <si>
    <t>Vega</t>
  </si>
  <si>
    <t>A very young system possibly in the process of planetary formation.[19]</t>
  </si>
  <si>
    <t>A recently discovered system which boasts 7 Earth-like planets, some of which may have liquid water. The discovery is a major advancement in finding a habitable planet and in finding a planet that could support life.</t>
  </si>
  <si>
    <t>Engine Name</t>
  </si>
  <si>
    <t>Type</t>
  </si>
  <si>
    <t>Warp Engine</t>
  </si>
  <si>
    <t>Light Speed Engine</t>
  </si>
  <si>
    <t>Propulsion</t>
  </si>
  <si>
    <t>Einstein</t>
  </si>
  <si>
    <t>SpockDrive</t>
  </si>
  <si>
    <t>Parker Solar Probe</t>
  </si>
  <si>
    <t>Compact Fusion</t>
  </si>
  <si>
    <t>Matter-AntiMatter</t>
  </si>
  <si>
    <t>LY Speed</t>
  </si>
  <si>
    <t>Fusion Reactor</t>
  </si>
  <si>
    <t>AntiPrime</t>
  </si>
  <si>
    <t>Jet Light</t>
  </si>
  <si>
    <t>Helios-B</t>
  </si>
  <si>
    <t>mph</t>
  </si>
  <si>
    <t>Ulysses</t>
  </si>
  <si>
    <t>Novo Light</t>
  </si>
  <si>
    <t>Beam Core</t>
  </si>
  <si>
    <t>Lorentz Drive</t>
  </si>
  <si>
    <t>GalactoTron</t>
  </si>
  <si>
    <t>MagnoFusion</t>
  </si>
  <si>
    <t>Probability of Manufacture success</t>
  </si>
  <si>
    <t>Severus Prime</t>
  </si>
  <si>
    <t>Amerigo Rex</t>
  </si>
  <si>
    <t>Disc</t>
  </si>
  <si>
    <t>Cube</t>
  </si>
  <si>
    <t>Probe</t>
  </si>
  <si>
    <t>Network</t>
  </si>
  <si>
    <t>Scientists</t>
  </si>
  <si>
    <t>Military</t>
  </si>
  <si>
    <t>Medical</t>
  </si>
  <si>
    <t>Shielding</t>
  </si>
  <si>
    <t>Vessel</t>
  </si>
  <si>
    <t>Engine</t>
  </si>
  <si>
    <t>Target Planet 2</t>
  </si>
  <si>
    <t>Target Planet 3</t>
  </si>
  <si>
    <t>Engineers</t>
  </si>
  <si>
    <t>Technicians</t>
  </si>
  <si>
    <t>Psychologists</t>
  </si>
  <si>
    <t>SolTrek</t>
  </si>
  <si>
    <t>StarNavigator</t>
  </si>
  <si>
    <t>CubeForce</t>
  </si>
  <si>
    <t>QuadroTron</t>
  </si>
  <si>
    <t>GyroForce</t>
  </si>
  <si>
    <t>GargaDrone</t>
  </si>
  <si>
    <t>Rex Prime</t>
  </si>
  <si>
    <t>Axumite</t>
  </si>
  <si>
    <t>Nubia</t>
  </si>
  <si>
    <t>Thunder Drone</t>
  </si>
  <si>
    <t>Tutankhamun Prime</t>
  </si>
  <si>
    <t>Arachni Prime</t>
  </si>
  <si>
    <t>Tarantulon</t>
  </si>
  <si>
    <t>Total People</t>
  </si>
  <si>
    <t>Laborer</t>
  </si>
  <si>
    <t>Laborers</t>
  </si>
  <si>
    <t>Artists</t>
  </si>
  <si>
    <t>Column1</t>
  </si>
  <si>
    <t>Target Planet 1</t>
  </si>
  <si>
    <t>Probability of Success</t>
  </si>
  <si>
    <t>Steel &amp; Graphine Wall</t>
  </si>
  <si>
    <t>Partical</t>
  </si>
  <si>
    <t>Radiation</t>
  </si>
  <si>
    <t>Mass (tons)</t>
  </si>
  <si>
    <t>Improbable</t>
  </si>
  <si>
    <t>Unknown</t>
  </si>
  <si>
    <t>Probable</t>
  </si>
  <si>
    <t>Probability</t>
  </si>
  <si>
    <t>Planet 1</t>
  </si>
  <si>
    <t>Planet 2</t>
  </si>
  <si>
    <t>Planet 3</t>
  </si>
  <si>
    <t>Value</t>
  </si>
  <si>
    <t>Steel Encased Water</t>
  </si>
  <si>
    <t>Reinforce Carbon Fiber</t>
  </si>
  <si>
    <t>Partical Defense</t>
  </si>
  <si>
    <t>Radiation Defense</t>
  </si>
  <si>
    <t>Tactical Plasma Array</t>
  </si>
  <si>
    <t>Tactical Laser ISM Tracking</t>
  </si>
  <si>
    <t>Selection</t>
  </si>
  <si>
    <t>Millitary</t>
  </si>
  <si>
    <t>Scientist</t>
  </si>
  <si>
    <t>Vessel Compat</t>
  </si>
  <si>
    <t>Vessel Type</t>
  </si>
  <si>
    <t>Distance</t>
  </si>
  <si>
    <t>Gravity</t>
  </si>
  <si>
    <t>Speed</t>
  </si>
  <si>
    <t>Buid Time</t>
  </si>
  <si>
    <t>Build Success</t>
  </si>
  <si>
    <t>Time to manufacture (Months)</t>
  </si>
  <si>
    <t>Trip Length</t>
  </si>
  <si>
    <t>Total Length</t>
  </si>
  <si>
    <t>Time Probability</t>
  </si>
  <si>
    <t>Vessel Compatibility 100%</t>
  </si>
  <si>
    <t>Engine Type</t>
  </si>
  <si>
    <t>90% Compatible</t>
  </si>
  <si>
    <t>80% Compatible</t>
  </si>
  <si>
    <t>Crew Structure</t>
  </si>
  <si>
    <t>A</t>
  </si>
  <si>
    <t>C</t>
  </si>
  <si>
    <t>B</t>
  </si>
  <si>
    <t>D</t>
  </si>
  <si>
    <t>E</t>
  </si>
  <si>
    <t>Vessel Compatability</t>
  </si>
  <si>
    <t>Planet Choice</t>
  </si>
  <si>
    <t>Habitability</t>
  </si>
  <si>
    <t>Star System</t>
  </si>
  <si>
    <t>Kepler-22b</t>
  </si>
  <si>
    <t>&lt;52.8</t>
  </si>
  <si>
    <t>Plan your trip to our new home planet</t>
  </si>
  <si>
    <t>Barnard's Star b</t>
  </si>
  <si>
    <t>TRAPPIST-1 h</t>
  </si>
  <si>
    <t>Wolf 359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</si>
</sst>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rgb="FF202122"/>
      <name val="Arial"/>
      <family val="2"/>
    </font>
    <font>
      <i/>
      <sz val="8"/>
      <color rgb="FF202122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9"/>
      <color theme="8" tint="-0.499984740745262"/>
      <name val="Calibri"/>
      <family val="2"/>
      <scheme val="minor"/>
    </font>
    <font>
      <u/>
      <sz val="9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EF2E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 style="medium">
        <color rgb="FFA2A9B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vertical="center" wrapText="1"/>
    </xf>
    <xf numFmtId="0" fontId="7" fillId="5" borderId="0" xfId="0" applyFont="1" applyFill="1" applyAlignment="1">
      <alignment horizontal="center" vertical="center"/>
    </xf>
    <xf numFmtId="0" fontId="8" fillId="5" borderId="0" xfId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3" fontId="0" fillId="0" borderId="0" xfId="0" applyNumberFormat="1"/>
    <xf numFmtId="2" fontId="0" fillId="0" borderId="0" xfId="0" applyNumberFormat="1"/>
    <xf numFmtId="9" fontId="0" fillId="0" borderId="0" xfId="2" applyFont="1"/>
    <xf numFmtId="0" fontId="6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9" fontId="0" fillId="0" borderId="0" xfId="0" applyNumberFormat="1"/>
    <xf numFmtId="0" fontId="0" fillId="0" borderId="0" xfId="0"/>
    <xf numFmtId="0" fontId="10" fillId="6" borderId="0" xfId="0" applyFont="1" applyFill="1"/>
    <xf numFmtId="0" fontId="11" fillId="7" borderId="0" xfId="0" applyFont="1" applyFill="1"/>
    <xf numFmtId="0" fontId="0" fillId="0" borderId="0" xfId="0" applyAlignment="1">
      <alignment horizontal="center"/>
    </xf>
    <xf numFmtId="0" fontId="10" fillId="6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/>
    </xf>
    <xf numFmtId="9" fontId="0" fillId="0" borderId="0" xfId="2" applyFont="1" applyAlignment="1">
      <alignment horizontal="center"/>
    </xf>
    <xf numFmtId="0" fontId="10" fillId="6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9" fontId="12" fillId="9" borderId="0" xfId="2" applyFont="1" applyFill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1" fillId="0" borderId="0" xfId="0" applyFont="1" applyFill="1" applyAlignment="1">
      <alignment vertical="center" wrapText="1"/>
    </xf>
    <xf numFmtId="3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3">
    <cellStyle name="Hyperlink" xfId="1" builtinId="8"/>
    <cellStyle name="Normal" xfId="0" builtinId="0"/>
    <cellStyle name="Percent" xfId="2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0212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0212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0212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0212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0212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0212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0212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0212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0212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202122"/>
        <name val="Arial"/>
        <family val="2"/>
        <scheme val="none"/>
      </font>
      <fill>
        <patternFill patternType="solid">
          <fgColor indexed="64"/>
          <bgColor rgb="FFCEF2E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0212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0212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0212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2" formatCode="0.00"/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02122"/>
        <name val="Arial"/>
        <family val="2"/>
        <scheme val="none"/>
      </font>
      <fill>
        <patternFill patternType="solid">
          <fgColor indexed="64"/>
          <bgColor rgb="FFFFFFB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DACDBB-E8B0-4076-9F84-CAD20BDE6F1F}" name="Planets" displayName="Planets" ref="A2:Q130" totalsRowShown="0" headerRowDxfId="35" dataDxfId="34">
  <autoFilter ref="A2:Q130" xr:uid="{E2DACDBB-E8B0-4076-9F84-CAD20BDE6F1F}"/>
  <tableColumns count="17">
    <tableColumn id="1" xr3:uid="{FDD32A7A-8573-47A0-B25C-33B7A87430AD}" name="Star System" dataDxfId="16"/>
    <tableColumn id="2" xr3:uid="{486FCD6D-5E69-47C0-92D5-5CC11642E368}" name="Multi-Planetary" dataDxfId="15"/>
    <tableColumn id="3" xr3:uid="{89792619-8375-42FB-99A5-9FCE5D125A99}" name="Distance (LY)" dataDxfId="14"/>
    <tableColumn id="4" xr3:uid="{8C8698B2-BDFD-4C9F-BB63-3AA3AB461B3C}" name="Apparent Magnitude" dataDxfId="13"/>
    <tableColumn id="5" xr3:uid="{A0FEDF5B-D2AF-47B2-ADFF-FDB8E68C7993}" name="Mass" dataDxfId="12"/>
    <tableColumn id="6" xr3:uid="{AD538B4F-5365-475D-AEA0-06030F9CF0EF}" name="Planet" dataDxfId="11">
      <calculatedColumnFormula>A3&amp; " " &amp;G3</calculatedColumnFormula>
    </tableColumn>
    <tableColumn id="7" xr3:uid="{6F216DBC-0096-44D3-BA6B-F2BC2F0ACD64}" name="Label" dataDxfId="10"/>
    <tableColumn id="8" xr3:uid="{BF9DA85E-3363-4DC8-95B0-B9EB06DF8137}" name="Habitable" dataDxfId="9"/>
    <tableColumn id="9" xr3:uid="{D1B2B7A9-A1D9-420E-A4E5-70A8302DB51E}" name="Mass (Earth Masses)" dataDxfId="8"/>
    <tableColumn id="10" xr3:uid="{BC0A8EB7-5F26-4FE5-B12A-F246C4C15E3D}" name="Radius" dataDxfId="7"/>
    <tableColumn id="11" xr3:uid="{52A6052E-08A1-4756-8972-A0F49F1C9847}" name="Surface Temperature (C)" dataDxfId="6"/>
    <tableColumn id="18" xr3:uid="{674DC35B-1BDD-4973-92E6-03CDAF29C4BE}" name="Surface Gravity" dataDxfId="5"/>
    <tableColumn id="12" xr3:uid="{061945F5-B475-43BB-B241-0BEBEF89B221}" name="Semi-major axis (AU)" dataDxfId="4"/>
    <tableColumn id="13" xr3:uid="{D325D34E-7E55-4898-B910-39D1B50C21FF}" name="Orbital (days)" dataDxfId="3"/>
    <tableColumn id="14" xr3:uid="{36E520DF-AFE9-408E-9F0E-F32457ED424D}" name="Eccentricity" dataDxfId="2"/>
    <tableColumn id="15" xr3:uid="{BD903D3F-52C0-45BA-876C-5191FAD1A525}" name="Inclination" dataDxfId="1"/>
    <tableColumn id="17" xr3:uid="{77B7AE32-7B51-452D-9C57-5D91714D8CD3}" name="Discovery year" dataDxfId="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371C00-785B-4371-BCB1-AEB26616ACC9}" name="Table2" displayName="Table2" ref="A1:C12" totalsRowShown="0">
  <autoFilter ref="A1:C12" xr:uid="{95371C00-785B-4371-BCB1-AEB26616ACC9}"/>
  <tableColumns count="3">
    <tableColumn id="1" xr3:uid="{230EBDCE-8037-47F9-8149-F2B8CEBA773D}" name="System"/>
    <tableColumn id="2" xr3:uid="{56E50335-FE2A-4FD1-BEF4-B022495689D8}" name="Distance (ly)"/>
    <tableColumn id="3" xr3:uid="{5F13DCF0-A0C4-496B-B406-D99EF4184189}" name="Remarks"/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091D4D-2393-4FB6-9DC6-E1D087288FF9}" name="Vessel" displayName="Vessel" ref="B3:M17" totalsRowShown="0">
  <autoFilter ref="B3:M17" xr:uid="{18091D4D-2393-4FB6-9DC6-E1D087288FF9}"/>
  <tableColumns count="12">
    <tableColumn id="1" xr3:uid="{D79E0579-E066-419E-BC74-4AD9C8BE45E2}" name="Name"/>
    <tableColumn id="2" xr3:uid="{79FA0896-4B67-457E-B3DF-4CDDAFC2AD6D}" name="Type"/>
    <tableColumn id="3" xr3:uid="{913507DC-B9D5-4960-843C-C2DD53C78007}" name="Mass (tons)" dataDxfId="22"/>
    <tableColumn id="4" xr3:uid="{2B80B218-F3FB-4923-8664-1C9AFCA5433E}" name="Military" dataDxfId="33"/>
    <tableColumn id="5" xr3:uid="{4D960DE7-C7F0-4E8D-B7B0-45995CCEA280}" name="Scientists" dataDxfId="32"/>
    <tableColumn id="6" xr3:uid="{B14345B3-4E22-42E5-879B-AD0DE46AF2AA}" name="Medical" dataDxfId="31"/>
    <tableColumn id="17" xr3:uid="{8298DE13-E9F1-4B3A-B9E0-D0C7537D89FC}" name="Engineers" dataDxfId="30"/>
    <tableColumn id="18" xr3:uid="{4A37C5CC-FA23-4CAA-BE0A-680C5E132D50}" name="Technicians" dataDxfId="29"/>
    <tableColumn id="19" xr3:uid="{4CD7F6DA-77AA-4971-89FB-F45B5D493F5B}" name="Artists" dataDxfId="28"/>
    <tableColumn id="20" xr3:uid="{45CCED12-1034-486A-A686-D27636C01A06}" name="Psychologists" dataDxfId="27"/>
    <tableColumn id="22" xr3:uid="{3D691B07-F352-4AF7-AADC-C18A0E9394B8}" name="Laborer" dataDxfId="26"/>
    <tableColumn id="21" xr3:uid="{10B640A9-CF71-4382-9054-C4766A81C106}" name="Total People" dataDxfId="25">
      <calculatedColumnFormula>SUM(Vessel[[#This Row],[Military]:[Laborer]])</calculatedColumnFormula>
    </tableColumn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0D19016-76E2-4D8F-9E97-27C02260E623}" name="Shield" displayName="Shield" ref="B3:D9" totalsRowShown="0">
  <autoFilter ref="B3:D9" xr:uid="{C0D19016-76E2-4D8F-9E97-27C02260E623}"/>
  <tableColumns count="3">
    <tableColumn id="1" xr3:uid="{3C7DBDDE-CCA5-4A66-A939-F7E6B3825DDC}" name="Shielding"/>
    <tableColumn id="2" xr3:uid="{B5E986E9-A302-4ED8-8928-8375F7A6E7DB}" name="Partical Defense" dataDxfId="19"/>
    <tableColumn id="3" xr3:uid="{B59D28C3-6540-4EC6-A92A-3057FA61C355}" name="Radiation Defense" dataDxfId="18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879998F-18F6-4E82-A4E2-C755724C3554}" name="Engine" displayName="Engine" ref="B3:I19" totalsRowShown="0">
  <autoFilter ref="B3:I19" xr:uid="{D879998F-18F6-4E82-A4E2-C755724C3554}"/>
  <tableColumns count="8">
    <tableColumn id="1" xr3:uid="{5CBB7B23-1CE2-47A2-B5A6-2955964D97A9}" name="Engine Name"/>
    <tableColumn id="2" xr3:uid="{7C94E4FF-C1AC-49CF-9750-FADCEC845C46}" name="Type"/>
    <tableColumn id="4" xr3:uid="{2B98F09F-5D43-4CCE-A805-D1C14852138D}" name="mph" dataDxfId="24"/>
    <tableColumn id="5" xr3:uid="{D82D60F5-010B-4B50-9E02-3CE53D707239}" name="LY Speed" dataDxfId="23"/>
    <tableColumn id="9" xr3:uid="{9136D57B-5E7B-4AD1-8D5B-7778CED560B2}" name="Time to manufacture (Months)" dataDxfId="21"/>
    <tableColumn id="10" xr3:uid="{9453C888-5C7F-46E1-8D33-8D972FF0FF27}" name="Probability of Manufacture success" dataDxfId="20" dataCellStyle="Percent"/>
    <tableColumn id="11" xr3:uid="{C5E092D9-344B-416A-B22E-91B0E3EE165C}" name="Vessel Compatibility 100%"/>
    <tableColumn id="3" xr3:uid="{C3BE9E25-F470-487A-9969-943C9B29460A}" name="Crew Structure" dataDxfId="17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DAA27A6-57F5-4F86-9D45-40192F8BFF04}" name="HabPlanet" displayName="HabPlanet" ref="B3:C8" totalsRowShown="0">
  <autoFilter ref="B3:C8" xr:uid="{FDAA27A6-57F5-4F86-9D45-40192F8BFF04}"/>
  <tableColumns count="2">
    <tableColumn id="1" xr3:uid="{1F488DB3-B849-451F-A4E9-7045D55E5266}" name="Habitable"/>
    <tableColumn id="2" xr3:uid="{19BDAE0E-86F5-462B-81FD-D7C521F807CF}" name="Value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39C33A4-A0D7-40A9-9366-2BF773E8E8B7}" name="Compatibility" displayName="Compatibility" ref="F3:H7" totalsRowShown="0">
  <autoFilter ref="F3:H7" xr:uid="{C39C33A4-A0D7-40A9-9366-2BF773E8E8B7}"/>
  <tableColumns count="3">
    <tableColumn id="1" xr3:uid="{EF0330D9-9D1A-4F96-8FD0-A0082958F596}" name="Vessel"/>
    <tableColumn id="2" xr3:uid="{30638F70-8BD9-4E55-AB8D-0AC82B543372}" name="90% Compatible"/>
    <tableColumn id="3" xr3:uid="{41DF5C16-8B16-48E3-B229-ABAF8C1C28C3}" name="80% Compatible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B980A67-FBA7-4150-B94C-F2E3ADC2F2D9}" name="CREW" displayName="CREW" ref="K3:T8" totalsRowShown="0">
  <autoFilter ref="K3:T8" xr:uid="{FB980A67-FBA7-4150-B94C-F2E3ADC2F2D9}"/>
  <tableColumns count="10">
    <tableColumn id="1" xr3:uid="{7FEC972D-1FCD-4009-8A7C-24E451AB0F01}" name="Crew Structure"/>
    <tableColumn id="2" xr3:uid="{C1A02124-D8EA-40B0-9DFF-DE8420B1F6DA}" name="Millitary"/>
    <tableColumn id="3" xr3:uid="{1E40607C-CD3B-4984-B6DF-FFA527F2E9F7}" name="Scientist"/>
    <tableColumn id="4" xr3:uid="{CD68E789-AB54-42CA-BC34-5ADDBD2A8160}" name="Medical"/>
    <tableColumn id="5" xr3:uid="{CD71A021-C686-4146-9F9F-0C8FB1ED0083}" name="Engineers"/>
    <tableColumn id="6" xr3:uid="{5121E580-BE83-40C9-A492-52D985443D0C}" name="Technicians"/>
    <tableColumn id="7" xr3:uid="{F9BC3E86-DDDC-4320-9331-43F1AC255568}" name="Artists"/>
    <tableColumn id="8" xr3:uid="{1EDF96C8-6092-4E57-BA6A-6FC72E9B52E3}" name="Psychologists"/>
    <tableColumn id="9" xr3:uid="{427BEA0F-AF06-46A2-9D13-CCC4A4984133}" name="Laborer"/>
    <tableColumn id="10" xr3:uid="{65372909-3229-4CA3-B941-46A630940607}" name="Column1">
      <calculatedColumnFormula>SUM(L4:S4)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7B505-A8AD-46CE-8926-0E0B57F6B626}">
  <sheetPr>
    <tabColor rgb="FF00B050"/>
  </sheetPr>
  <dimension ref="B1:L23"/>
  <sheetViews>
    <sheetView tabSelected="1" topLeftCell="F1" workbookViewId="0">
      <selection activeCell="N19" sqref="N19"/>
    </sheetView>
  </sheetViews>
  <sheetFormatPr defaultRowHeight="14.4" x14ac:dyDescent="0.3"/>
  <cols>
    <col min="2" max="2" width="13.44140625" customWidth="1"/>
    <col min="11" max="11" width="13.33203125" bestFit="1" customWidth="1"/>
    <col min="12" max="12" width="24.33203125" customWidth="1"/>
    <col min="18" max="18" width="12.5546875" bestFit="1" customWidth="1"/>
    <col min="19" max="19" width="18.44140625" customWidth="1"/>
  </cols>
  <sheetData>
    <row r="1" spans="2:12" s="12" customFormat="1" x14ac:dyDescent="0.3"/>
    <row r="2" spans="2:12" s="12" customFormat="1" x14ac:dyDescent="0.3">
      <c r="K2" s="19" t="s">
        <v>315</v>
      </c>
      <c r="L2" s="19"/>
    </row>
    <row r="4" spans="2:12" x14ac:dyDescent="0.3">
      <c r="K4" s="16" t="s">
        <v>266</v>
      </c>
      <c r="L4" s="22">
        <f>Calculator!C2</f>
        <v>0.27808166036271942</v>
      </c>
    </row>
    <row r="5" spans="2:12" x14ac:dyDescent="0.3">
      <c r="K5" s="16"/>
      <c r="L5" s="22"/>
    </row>
    <row r="9" spans="2:12" x14ac:dyDescent="0.3">
      <c r="B9" t="s">
        <v>262</v>
      </c>
      <c r="K9" s="13" t="s">
        <v>240</v>
      </c>
      <c r="L9" s="14" t="s">
        <v>254</v>
      </c>
    </row>
    <row r="11" spans="2:12" x14ac:dyDescent="0.3">
      <c r="B11" t="s">
        <v>236</v>
      </c>
      <c r="K11" s="13" t="s">
        <v>241</v>
      </c>
      <c r="L11" s="14" t="s">
        <v>213</v>
      </c>
    </row>
    <row r="13" spans="2:12" x14ac:dyDescent="0.3">
      <c r="B13" t="s">
        <v>246</v>
      </c>
      <c r="K13" s="13" t="s">
        <v>239</v>
      </c>
      <c r="L13" s="14" t="s">
        <v>284</v>
      </c>
    </row>
    <row r="15" spans="2:12" x14ac:dyDescent="0.3">
      <c r="B15" t="s">
        <v>237</v>
      </c>
    </row>
    <row r="17" spans="2:12" x14ac:dyDescent="0.3">
      <c r="B17" t="s">
        <v>238</v>
      </c>
      <c r="K17" s="13" t="s">
        <v>265</v>
      </c>
      <c r="L17" s="14" t="s">
        <v>316</v>
      </c>
    </row>
    <row r="19" spans="2:12" x14ac:dyDescent="0.3">
      <c r="B19" t="s">
        <v>244</v>
      </c>
      <c r="K19" s="13" t="s">
        <v>242</v>
      </c>
      <c r="L19" s="14" t="s">
        <v>318</v>
      </c>
    </row>
    <row r="21" spans="2:12" x14ac:dyDescent="0.3">
      <c r="B21" t="s">
        <v>263</v>
      </c>
      <c r="K21" s="13" t="s">
        <v>243</v>
      </c>
      <c r="L21" s="14" t="s">
        <v>317</v>
      </c>
    </row>
    <row r="23" spans="2:12" x14ac:dyDescent="0.3">
      <c r="B23" t="s">
        <v>245</v>
      </c>
    </row>
  </sheetData>
  <mergeCells count="3">
    <mergeCell ref="K4:K5"/>
    <mergeCell ref="L4:L5"/>
    <mergeCell ref="K2:L2"/>
  </mergeCells>
  <conditionalFormatting sqref="L4:L5">
    <cfRule type="colorScale" priority="1">
      <colorScale>
        <cfvo type="num" val="0.5"/>
        <cfvo type="num" val="0.75"/>
        <cfvo type="num" val="0.85"/>
        <color rgb="FFFF0000"/>
        <color rgb="FFFFC000"/>
        <color rgb="FF00B050"/>
      </colorScale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6D1ED85-7566-477B-8DE3-678C266C478E}">
          <x14:formula1>
            <xm:f>Vessel!$B$4:$B$16</xm:f>
          </x14:formula1>
          <xm:sqref>L9</xm:sqref>
        </x14:dataValidation>
        <x14:dataValidation type="list" allowBlank="1" showInputMessage="1" showErrorMessage="1" xr:uid="{EA639514-8A37-4EBF-9492-7C4B21AB7208}">
          <x14:formula1>
            <xm:f>Engine!$B$4:$B$18</xm:f>
          </x14:formula1>
          <xm:sqref>L11</xm:sqref>
        </x14:dataValidation>
        <x14:dataValidation type="list" allowBlank="1" showInputMessage="1" showErrorMessage="1" xr:uid="{A440D9D0-AD4E-4136-BF17-FCD889C4AB56}">
          <x14:formula1>
            <xm:f>Shielding!$B$4:$B$8</xm:f>
          </x14:formula1>
          <xm:sqref>L13</xm:sqref>
        </x14:dataValidation>
        <x14:dataValidation type="list" allowBlank="1" showInputMessage="1" showErrorMessage="1" xr:uid="{F484F803-E6D3-4E00-8720-41232617D5BE}">
          <x14:formula1>
            <xm:f>'Exo-Planets'!$F$3:$F$129</xm:f>
          </x14:formula1>
          <xm:sqref>L17 L19 L21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4A1D9-F526-4C47-B747-FA3FFB2CD33A}">
  <dimension ref="A1:Q130"/>
  <sheetViews>
    <sheetView workbookViewId="0">
      <selection activeCell="I11" sqref="I11"/>
    </sheetView>
  </sheetViews>
  <sheetFormatPr defaultRowHeight="14.4" x14ac:dyDescent="0.3"/>
  <cols>
    <col min="1" max="1" width="16.77734375" bestFit="1" customWidth="1"/>
    <col min="2" max="2" width="16.77734375" customWidth="1"/>
    <col min="3" max="3" width="16" customWidth="1"/>
    <col min="4" max="4" width="15.33203125" customWidth="1"/>
    <col min="6" max="6" width="15.21875" bestFit="1" customWidth="1"/>
    <col min="8" max="8" width="9.6640625" customWidth="1"/>
    <col min="9" max="9" width="16.77734375" customWidth="1"/>
    <col min="11" max="12" width="20.21875" customWidth="1"/>
    <col min="13" max="13" width="15.6640625" customWidth="1"/>
    <col min="14" max="14" width="11.44140625" customWidth="1"/>
    <col min="15" max="15" width="10" customWidth="1"/>
    <col min="16" max="16" width="9.6640625" customWidth="1"/>
    <col min="17" max="17" width="13.21875" customWidth="1"/>
  </cols>
  <sheetData>
    <row r="1" spans="1:17" x14ac:dyDescent="0.3">
      <c r="A1" s="10" t="s">
        <v>0</v>
      </c>
      <c r="B1" s="10"/>
      <c r="C1" s="10"/>
      <c r="D1" s="10"/>
      <c r="E1" s="10"/>
      <c r="F1" s="8" t="s">
        <v>168</v>
      </c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x14ac:dyDescent="0.3">
      <c r="A2" s="4" t="s">
        <v>312</v>
      </c>
      <c r="B2" s="4" t="s">
        <v>165</v>
      </c>
      <c r="C2" s="2" t="s">
        <v>153</v>
      </c>
      <c r="D2" s="2" t="s">
        <v>149</v>
      </c>
      <c r="E2" s="2" t="s">
        <v>2</v>
      </c>
      <c r="F2" s="3" t="s">
        <v>150</v>
      </c>
      <c r="G2" s="4" t="s">
        <v>3</v>
      </c>
      <c r="H2" s="4" t="s">
        <v>166</v>
      </c>
      <c r="I2" s="4" t="s">
        <v>167</v>
      </c>
      <c r="J2" s="4" t="s">
        <v>4</v>
      </c>
      <c r="K2" s="4" t="s">
        <v>173</v>
      </c>
      <c r="L2" s="4" t="s">
        <v>178</v>
      </c>
      <c r="M2" s="2" t="s">
        <v>152</v>
      </c>
      <c r="N2" s="2" t="s">
        <v>151</v>
      </c>
      <c r="O2" s="2" t="s">
        <v>5</v>
      </c>
      <c r="P2" s="2" t="s">
        <v>6</v>
      </c>
      <c r="Q2" s="4" t="s">
        <v>7</v>
      </c>
    </row>
    <row r="3" spans="1:17" ht="15" customHeight="1" x14ac:dyDescent="0.3">
      <c r="A3" s="24" t="s">
        <v>146</v>
      </c>
      <c r="B3" s="24" t="b">
        <v>1</v>
      </c>
      <c r="C3" s="25">
        <v>4.2465000000000002</v>
      </c>
      <c r="D3" s="25">
        <v>11.13</v>
      </c>
      <c r="E3" s="25">
        <v>0.123</v>
      </c>
      <c r="F3" s="1" t="str">
        <f t="shared" ref="F3:F66" si="0">A3&amp; " " &amp;G3</f>
        <v>Proxima Centauri d</v>
      </c>
      <c r="G3" s="24" t="s">
        <v>9</v>
      </c>
      <c r="H3" s="24" t="s">
        <v>271</v>
      </c>
      <c r="I3" s="25" t="s">
        <v>10</v>
      </c>
      <c r="J3" s="25">
        <v>0.81</v>
      </c>
      <c r="K3" s="25"/>
      <c r="L3" s="25"/>
      <c r="M3" s="25">
        <v>2.8850000000000001E-2</v>
      </c>
      <c r="N3" s="25">
        <v>5.1219999999999999</v>
      </c>
      <c r="O3" s="25">
        <v>0.04</v>
      </c>
      <c r="P3" s="25" t="s">
        <v>8</v>
      </c>
      <c r="Q3" s="25">
        <v>2022</v>
      </c>
    </row>
    <row r="4" spans="1:17" x14ac:dyDescent="0.3">
      <c r="A4" s="24" t="s">
        <v>146</v>
      </c>
      <c r="B4" s="24" t="b">
        <v>1</v>
      </c>
      <c r="C4" s="25">
        <v>4.2465000000000002</v>
      </c>
      <c r="D4" s="25">
        <v>11.13</v>
      </c>
      <c r="E4" s="25">
        <v>0.123</v>
      </c>
      <c r="F4" s="1" t="str">
        <f t="shared" si="0"/>
        <v>Proxima Centauri b</v>
      </c>
      <c r="G4" s="24" t="s">
        <v>14</v>
      </c>
      <c r="H4" s="24" t="s">
        <v>273</v>
      </c>
      <c r="I4" s="25" t="s">
        <v>11</v>
      </c>
      <c r="J4" s="25" t="s">
        <v>8</v>
      </c>
      <c r="K4" s="25">
        <v>-39</v>
      </c>
      <c r="L4" s="25"/>
      <c r="M4" s="25">
        <v>4.8599999999999997E-2</v>
      </c>
      <c r="N4" s="25">
        <v>11.2</v>
      </c>
      <c r="O4" s="25">
        <v>0.109</v>
      </c>
      <c r="P4" s="25" t="s">
        <v>8</v>
      </c>
      <c r="Q4" s="25">
        <v>2016</v>
      </c>
    </row>
    <row r="5" spans="1:17" x14ac:dyDescent="0.3">
      <c r="A5" s="24" t="s">
        <v>146</v>
      </c>
      <c r="B5" s="24" t="b">
        <v>1</v>
      </c>
      <c r="C5" s="25">
        <v>4.2465000000000002</v>
      </c>
      <c r="D5" s="25">
        <v>11.13</v>
      </c>
      <c r="E5" s="25">
        <v>0.123</v>
      </c>
      <c r="F5" s="1" t="str">
        <f t="shared" si="0"/>
        <v>Proxima Centauri c</v>
      </c>
      <c r="G5" s="24" t="s">
        <v>12</v>
      </c>
      <c r="H5" s="24" t="b">
        <v>0</v>
      </c>
      <c r="I5" s="25">
        <v>7</v>
      </c>
      <c r="J5" s="25" t="s">
        <v>8</v>
      </c>
      <c r="K5" s="25">
        <v>-234</v>
      </c>
      <c r="L5" s="25"/>
      <c r="M5" s="25">
        <v>1.4890000000000001</v>
      </c>
      <c r="N5" s="25">
        <v>1928</v>
      </c>
      <c r="O5" s="25">
        <v>0.04</v>
      </c>
      <c r="P5" s="25">
        <v>133</v>
      </c>
      <c r="Q5" s="25">
        <v>2020</v>
      </c>
    </row>
    <row r="6" spans="1:17" x14ac:dyDescent="0.3">
      <c r="A6" s="24" t="s">
        <v>174</v>
      </c>
      <c r="B6" s="24"/>
      <c r="C6" s="25">
        <v>5.9580000000000002</v>
      </c>
      <c r="D6" s="25"/>
      <c r="E6" s="25"/>
      <c r="F6" s="1" t="str">
        <f t="shared" si="0"/>
        <v>Barnard's Star b</v>
      </c>
      <c r="G6" s="24" t="s">
        <v>14</v>
      </c>
      <c r="H6" s="24" t="b">
        <v>0</v>
      </c>
      <c r="I6" s="25" t="s">
        <v>175</v>
      </c>
      <c r="J6" s="25"/>
      <c r="K6" s="25">
        <v>-168.15</v>
      </c>
      <c r="L6" s="25"/>
      <c r="M6" s="25">
        <v>0.40400000000000003</v>
      </c>
      <c r="N6" s="25">
        <v>0.32</v>
      </c>
      <c r="O6" s="25"/>
      <c r="P6" s="25"/>
      <c r="Q6" s="25"/>
    </row>
    <row r="7" spans="1:17" x14ac:dyDescent="0.3">
      <c r="A7" s="24" t="s">
        <v>147</v>
      </c>
      <c r="B7" s="24" t="b">
        <v>1</v>
      </c>
      <c r="C7" s="25">
        <v>7.8559999999999999</v>
      </c>
      <c r="D7" s="25">
        <v>13.54</v>
      </c>
      <c r="E7" s="25">
        <v>0.09</v>
      </c>
      <c r="F7" s="1" t="str">
        <f t="shared" si="0"/>
        <v>Wolf 359 c</v>
      </c>
      <c r="G7" s="24" t="s">
        <v>12</v>
      </c>
      <c r="H7" s="24" t="s">
        <v>271</v>
      </c>
      <c r="I7" s="25" t="s">
        <v>13</v>
      </c>
      <c r="J7" s="25" t="s">
        <v>8</v>
      </c>
      <c r="K7" s="25"/>
      <c r="L7" s="25"/>
      <c r="M7" s="25">
        <v>1.7999999999999999E-2</v>
      </c>
      <c r="N7" s="25">
        <v>2.69</v>
      </c>
      <c r="O7" s="25">
        <v>0.15</v>
      </c>
      <c r="P7" s="25" t="s">
        <v>8</v>
      </c>
      <c r="Q7" s="25">
        <v>2019</v>
      </c>
    </row>
    <row r="8" spans="1:17" x14ac:dyDescent="0.3">
      <c r="A8" s="24" t="s">
        <v>147</v>
      </c>
      <c r="B8" s="24" t="b">
        <v>1</v>
      </c>
      <c r="C8" s="25">
        <v>7.8559999999999999</v>
      </c>
      <c r="D8" s="25">
        <v>13.54</v>
      </c>
      <c r="E8" s="25">
        <v>0.09</v>
      </c>
      <c r="F8" s="1" t="str">
        <f t="shared" si="0"/>
        <v>Wolf 359 b</v>
      </c>
      <c r="G8" s="24" t="s">
        <v>14</v>
      </c>
      <c r="H8" s="24" t="s">
        <v>271</v>
      </c>
      <c r="I8" s="25" t="s">
        <v>15</v>
      </c>
      <c r="J8" s="25" t="s">
        <v>8</v>
      </c>
      <c r="K8" s="25"/>
      <c r="L8" s="25"/>
      <c r="M8" s="25">
        <v>1.845</v>
      </c>
      <c r="N8" s="26">
        <v>2940</v>
      </c>
      <c r="O8" s="25">
        <v>0.04</v>
      </c>
      <c r="P8" s="25" t="s">
        <v>8</v>
      </c>
      <c r="Q8" s="25">
        <v>2019</v>
      </c>
    </row>
    <row r="9" spans="1:17" ht="15" customHeight="1" x14ac:dyDescent="0.3">
      <c r="A9" s="24" t="s">
        <v>16</v>
      </c>
      <c r="B9" s="24" t="b">
        <v>1</v>
      </c>
      <c r="C9" s="25">
        <v>8.3040000000000003</v>
      </c>
      <c r="D9" s="25">
        <v>7.52</v>
      </c>
      <c r="E9" s="25">
        <v>0.46</v>
      </c>
      <c r="F9" s="1" t="str">
        <f t="shared" si="0"/>
        <v>Lalande 21185 b</v>
      </c>
      <c r="G9" s="24" t="s">
        <v>14</v>
      </c>
      <c r="H9" s="24" t="s">
        <v>271</v>
      </c>
      <c r="I9" s="25" t="s">
        <v>17</v>
      </c>
      <c r="J9" s="25" t="s">
        <v>8</v>
      </c>
      <c r="K9" s="25"/>
      <c r="L9" s="25"/>
      <c r="M9" s="25">
        <v>7.8899999999999998E-2</v>
      </c>
      <c r="N9" s="25">
        <v>12.9</v>
      </c>
      <c r="O9" s="25">
        <v>0.12</v>
      </c>
      <c r="P9" s="25" t="s">
        <v>8</v>
      </c>
      <c r="Q9" s="25">
        <v>2019</v>
      </c>
    </row>
    <row r="10" spans="1:17" x14ac:dyDescent="0.3">
      <c r="A10" s="24" t="s">
        <v>16</v>
      </c>
      <c r="B10" s="24" t="b">
        <v>1</v>
      </c>
      <c r="C10" s="25">
        <v>8.3040000000000003</v>
      </c>
      <c r="D10" s="25">
        <v>7.52</v>
      </c>
      <c r="E10" s="25">
        <v>0.46</v>
      </c>
      <c r="F10" s="1" t="str">
        <f t="shared" si="0"/>
        <v>Lalande 21185 c</v>
      </c>
      <c r="G10" s="24" t="s">
        <v>12</v>
      </c>
      <c r="H10" s="24" t="s">
        <v>271</v>
      </c>
      <c r="I10" s="25" t="s">
        <v>18</v>
      </c>
      <c r="J10" s="25" t="s">
        <v>8</v>
      </c>
      <c r="K10" s="25"/>
      <c r="L10" s="25"/>
      <c r="M10" s="25">
        <v>3.1</v>
      </c>
      <c r="N10" s="25">
        <v>3190</v>
      </c>
      <c r="O10" s="25">
        <v>0.14000000000000001</v>
      </c>
      <c r="P10" s="25" t="s">
        <v>8</v>
      </c>
      <c r="Q10" s="25">
        <v>2021</v>
      </c>
    </row>
    <row r="11" spans="1:17" ht="16.2" customHeight="1" x14ac:dyDescent="0.3">
      <c r="A11" s="24" t="s">
        <v>19</v>
      </c>
      <c r="B11" s="24"/>
      <c r="C11" s="25">
        <v>10.489000000000001</v>
      </c>
      <c r="D11" s="25">
        <v>3.73</v>
      </c>
      <c r="E11" s="25">
        <v>0.78100000000000003</v>
      </c>
      <c r="F11" s="1" t="str">
        <f t="shared" si="0"/>
        <v>Epsilon Eridani Ægir</v>
      </c>
      <c r="G11" s="24" t="s">
        <v>20</v>
      </c>
      <c r="H11" s="24" t="s">
        <v>271</v>
      </c>
      <c r="I11" s="25">
        <v>248</v>
      </c>
      <c r="J11" s="25" t="s">
        <v>8</v>
      </c>
      <c r="K11" s="25"/>
      <c r="L11" s="25"/>
      <c r="M11" s="25">
        <v>3.48</v>
      </c>
      <c r="N11" s="26">
        <v>2692</v>
      </c>
      <c r="O11" s="25">
        <v>7.0000000000000007E-2</v>
      </c>
      <c r="P11" s="25">
        <v>89</v>
      </c>
      <c r="Q11" s="25">
        <v>2000</v>
      </c>
    </row>
    <row r="12" spans="1:17" ht="16.8" customHeight="1" x14ac:dyDescent="0.3">
      <c r="A12" s="24" t="s">
        <v>170</v>
      </c>
      <c r="B12" s="24" t="b">
        <v>1</v>
      </c>
      <c r="C12" s="25">
        <v>10.724</v>
      </c>
      <c r="D12" s="25">
        <v>7.34</v>
      </c>
      <c r="E12" s="25">
        <v>0.48899999999999999</v>
      </c>
      <c r="F12" s="1" t="str">
        <f t="shared" si="0"/>
        <v>Lacaille 9352 b</v>
      </c>
      <c r="G12" s="24" t="s">
        <v>14</v>
      </c>
      <c r="H12" s="24" t="s">
        <v>271</v>
      </c>
      <c r="I12" s="25" t="s">
        <v>21</v>
      </c>
      <c r="J12" s="25" t="s">
        <v>8</v>
      </c>
      <c r="K12" s="25"/>
      <c r="L12" s="25"/>
      <c r="M12" s="25">
        <v>6.8000000000000005E-2</v>
      </c>
      <c r="N12" s="25">
        <v>9.26</v>
      </c>
      <c r="O12" s="25">
        <v>0.03</v>
      </c>
      <c r="P12" s="25" t="s">
        <v>8</v>
      </c>
      <c r="Q12" s="25">
        <v>2019</v>
      </c>
    </row>
    <row r="13" spans="1:17" x14ac:dyDescent="0.3">
      <c r="A13" s="24" t="s">
        <v>170</v>
      </c>
      <c r="B13" s="24" t="b">
        <v>1</v>
      </c>
      <c r="C13" s="25">
        <v>10.724</v>
      </c>
      <c r="D13" s="25">
        <v>7.34</v>
      </c>
      <c r="E13" s="25">
        <v>0.48899999999999999</v>
      </c>
      <c r="F13" s="1" t="str">
        <f t="shared" si="0"/>
        <v>Lacaille 9352 c</v>
      </c>
      <c r="G13" s="24" t="s">
        <v>12</v>
      </c>
      <c r="H13" s="24" t="s">
        <v>271</v>
      </c>
      <c r="I13" s="25" t="s">
        <v>22</v>
      </c>
      <c r="J13" s="25" t="s">
        <v>8</v>
      </c>
      <c r="K13" s="25"/>
      <c r="L13" s="25"/>
      <c r="M13" s="25">
        <v>0.12</v>
      </c>
      <c r="N13" s="25">
        <v>21.8</v>
      </c>
      <c r="O13" s="25">
        <v>0.03</v>
      </c>
      <c r="P13" s="25" t="s">
        <v>8</v>
      </c>
      <c r="Q13" s="25">
        <v>2019</v>
      </c>
    </row>
    <row r="14" spans="1:17" x14ac:dyDescent="0.3">
      <c r="A14" s="24" t="s">
        <v>23</v>
      </c>
      <c r="B14" s="24"/>
      <c r="C14" s="25">
        <v>11.007</v>
      </c>
      <c r="D14" s="25">
        <v>11.1</v>
      </c>
      <c r="E14" s="25">
        <v>0.16800000000000001</v>
      </c>
      <c r="F14" s="1" t="str">
        <f t="shared" si="0"/>
        <v>Ross 128 b</v>
      </c>
      <c r="G14" s="24" t="s">
        <v>14</v>
      </c>
      <c r="H14" s="24" t="s">
        <v>273</v>
      </c>
      <c r="I14" s="25" t="s">
        <v>24</v>
      </c>
      <c r="J14" s="25" t="s">
        <v>8</v>
      </c>
      <c r="K14" s="25">
        <v>-15</v>
      </c>
      <c r="L14" s="25"/>
      <c r="M14" s="25">
        <v>4.9599999999999998E-2</v>
      </c>
      <c r="N14" s="25">
        <v>9.8699999999999992</v>
      </c>
      <c r="O14" s="25">
        <v>0.12</v>
      </c>
      <c r="P14" s="25" t="s">
        <v>8</v>
      </c>
      <c r="Q14" s="25">
        <v>2017</v>
      </c>
    </row>
    <row r="15" spans="1:17" ht="15" customHeight="1" x14ac:dyDescent="0.3">
      <c r="A15" s="24" t="s">
        <v>171</v>
      </c>
      <c r="B15" s="24" t="b">
        <v>1</v>
      </c>
      <c r="C15" s="25">
        <v>11.491</v>
      </c>
      <c r="D15" s="25">
        <v>9.6999999999999993</v>
      </c>
      <c r="E15" s="25">
        <v>0.248</v>
      </c>
      <c r="F15" s="1" t="str">
        <f t="shared" si="0"/>
        <v>Struve 2398 B b</v>
      </c>
      <c r="G15" s="24" t="s">
        <v>14</v>
      </c>
      <c r="H15" s="24" t="s">
        <v>271</v>
      </c>
      <c r="I15" s="25" t="s">
        <v>25</v>
      </c>
      <c r="J15" s="25" t="s">
        <v>8</v>
      </c>
      <c r="K15" s="25"/>
      <c r="L15" s="25"/>
      <c r="M15" s="25">
        <v>0.26100000000000001</v>
      </c>
      <c r="N15" s="25">
        <v>91.3</v>
      </c>
      <c r="O15" s="25">
        <v>0.06</v>
      </c>
      <c r="P15" s="25" t="s">
        <v>8</v>
      </c>
      <c r="Q15" s="25">
        <v>2019</v>
      </c>
    </row>
    <row r="16" spans="1:17" x14ac:dyDescent="0.3">
      <c r="A16" s="24" t="s">
        <v>171</v>
      </c>
      <c r="B16" s="24" t="b">
        <v>1</v>
      </c>
      <c r="C16" s="25">
        <v>11.491</v>
      </c>
      <c r="D16" s="25">
        <v>9.6999999999999993</v>
      </c>
      <c r="E16" s="25">
        <v>0.248</v>
      </c>
      <c r="F16" s="1" t="str">
        <f t="shared" si="0"/>
        <v>Struve 2398 B c</v>
      </c>
      <c r="G16" s="24" t="s">
        <v>12</v>
      </c>
      <c r="H16" s="24" t="s">
        <v>271</v>
      </c>
      <c r="I16" s="25" t="s">
        <v>26</v>
      </c>
      <c r="J16" s="25" t="s">
        <v>8</v>
      </c>
      <c r="K16" s="25"/>
      <c r="L16" s="25"/>
      <c r="M16" s="25">
        <v>0.42799999999999999</v>
      </c>
      <c r="N16" s="25">
        <v>192</v>
      </c>
      <c r="O16" s="25">
        <v>0.03</v>
      </c>
      <c r="P16" s="25" t="s">
        <v>8</v>
      </c>
      <c r="Q16" s="25">
        <v>2019</v>
      </c>
    </row>
    <row r="17" spans="1:17" ht="15" customHeight="1" x14ac:dyDescent="0.3">
      <c r="A17" s="24" t="s">
        <v>169</v>
      </c>
      <c r="B17" s="24" t="b">
        <v>1</v>
      </c>
      <c r="C17" s="25">
        <v>11.619</v>
      </c>
      <c r="D17" s="25">
        <v>8.1</v>
      </c>
      <c r="E17" s="25">
        <v>0.38</v>
      </c>
      <c r="F17" s="1" t="str">
        <f t="shared" si="0"/>
        <v>Groombridge 34 A b</v>
      </c>
      <c r="G17" s="24" t="s">
        <v>14</v>
      </c>
      <c r="H17" s="24" t="s">
        <v>271</v>
      </c>
      <c r="I17" s="25" t="s">
        <v>27</v>
      </c>
      <c r="J17" s="25" t="s">
        <v>8</v>
      </c>
      <c r="K17" s="25"/>
      <c r="L17" s="25"/>
      <c r="M17" s="25">
        <v>7.1999999999999995E-2</v>
      </c>
      <c r="N17" s="25">
        <v>11.4</v>
      </c>
      <c r="O17" s="25">
        <v>9.4E-2</v>
      </c>
      <c r="P17" s="27" t="s">
        <v>28</v>
      </c>
      <c r="Q17" s="25">
        <v>2014</v>
      </c>
    </row>
    <row r="18" spans="1:17" x14ac:dyDescent="0.3">
      <c r="A18" s="24" t="s">
        <v>169</v>
      </c>
      <c r="B18" s="24" t="b">
        <v>1</v>
      </c>
      <c r="C18" s="25">
        <v>11.619</v>
      </c>
      <c r="D18" s="25">
        <v>8.1</v>
      </c>
      <c r="E18" s="25">
        <v>0.38</v>
      </c>
      <c r="F18" s="1" t="str">
        <f t="shared" si="0"/>
        <v>Groombridge 34 A c</v>
      </c>
      <c r="G18" s="24" t="s">
        <v>12</v>
      </c>
      <c r="H18" s="24" t="s">
        <v>271</v>
      </c>
      <c r="I18" s="25" t="s">
        <v>29</v>
      </c>
      <c r="J18" s="25" t="s">
        <v>8</v>
      </c>
      <c r="K18" s="25"/>
      <c r="L18" s="25"/>
      <c r="M18" s="25">
        <v>5.4</v>
      </c>
      <c r="N18" s="26">
        <v>7600</v>
      </c>
      <c r="O18" s="25">
        <v>0.27</v>
      </c>
      <c r="P18" s="27" t="s">
        <v>28</v>
      </c>
      <c r="Q18" s="25">
        <v>2018</v>
      </c>
    </row>
    <row r="19" spans="1:17" ht="15" customHeight="1" x14ac:dyDescent="0.3">
      <c r="A19" s="24" t="s">
        <v>30</v>
      </c>
      <c r="B19" s="24"/>
      <c r="C19" s="25">
        <v>11.867000000000001</v>
      </c>
      <c r="D19" s="25">
        <v>4.83</v>
      </c>
      <c r="E19" s="25">
        <v>0.76200000000000001</v>
      </c>
      <c r="F19" s="1" t="str">
        <f t="shared" si="0"/>
        <v>Epsilon Indi A b</v>
      </c>
      <c r="G19" s="24" t="s">
        <v>14</v>
      </c>
      <c r="H19" s="24" t="s">
        <v>271</v>
      </c>
      <c r="I19" s="25">
        <v>1030</v>
      </c>
      <c r="J19" s="25" t="s">
        <v>8</v>
      </c>
      <c r="K19" s="25"/>
      <c r="L19" s="25"/>
      <c r="M19" s="25">
        <v>11.55</v>
      </c>
      <c r="N19" s="26">
        <v>16500</v>
      </c>
      <c r="O19" s="25">
        <v>0.26</v>
      </c>
      <c r="P19" s="25">
        <v>64.25</v>
      </c>
      <c r="Q19" s="25">
        <v>2018</v>
      </c>
    </row>
    <row r="20" spans="1:17" x14ac:dyDescent="0.3">
      <c r="A20" s="24" t="s">
        <v>30</v>
      </c>
      <c r="B20" s="24"/>
      <c r="C20" s="25">
        <v>11.867000000000001</v>
      </c>
      <c r="D20" s="25">
        <v>4.83</v>
      </c>
      <c r="E20" s="25">
        <v>0.76200000000000001</v>
      </c>
      <c r="F20" s="1" t="str">
        <f t="shared" si="0"/>
        <v xml:space="preserve">Epsilon Indi A </v>
      </c>
      <c r="G20" s="24"/>
      <c r="H20" s="24" t="s">
        <v>271</v>
      </c>
      <c r="I20" s="25"/>
      <c r="J20" s="25"/>
      <c r="K20" s="25"/>
      <c r="L20" s="25"/>
      <c r="M20" s="25"/>
      <c r="N20" s="26"/>
      <c r="O20" s="25"/>
      <c r="P20" s="25"/>
      <c r="Q20" s="25"/>
    </row>
    <row r="21" spans="1:17" x14ac:dyDescent="0.3">
      <c r="A21" s="24" t="s">
        <v>31</v>
      </c>
      <c r="B21" s="24" t="b">
        <v>1</v>
      </c>
      <c r="C21" s="25">
        <v>11.912000000000001</v>
      </c>
      <c r="D21" s="25">
        <v>3.5</v>
      </c>
      <c r="E21" s="25">
        <v>0.78</v>
      </c>
      <c r="F21" s="1" t="str">
        <f t="shared" si="0"/>
        <v>Tau Ceti# g</v>
      </c>
      <c r="G21" s="24" t="s">
        <v>32</v>
      </c>
      <c r="H21" s="24" t="s">
        <v>271</v>
      </c>
      <c r="I21" s="25" t="s">
        <v>33</v>
      </c>
      <c r="J21" s="25" t="s">
        <v>8</v>
      </c>
      <c r="K21" s="25"/>
      <c r="L21" s="25"/>
      <c r="M21" s="25">
        <v>0.13300000000000001</v>
      </c>
      <c r="N21" s="25">
        <v>20</v>
      </c>
      <c r="O21" s="25">
        <v>0.06</v>
      </c>
      <c r="P21" s="27" t="s">
        <v>34</v>
      </c>
      <c r="Q21" s="25">
        <v>2017</v>
      </c>
    </row>
    <row r="22" spans="1:17" x14ac:dyDescent="0.3">
      <c r="A22" s="24" t="s">
        <v>31</v>
      </c>
      <c r="B22" s="24" t="b">
        <v>1</v>
      </c>
      <c r="C22" s="25">
        <v>11.912000000000001</v>
      </c>
      <c r="D22" s="25">
        <v>3.5</v>
      </c>
      <c r="E22" s="25">
        <v>0.78</v>
      </c>
      <c r="F22" s="1" t="str">
        <f t="shared" si="0"/>
        <v>Tau Ceti# h</v>
      </c>
      <c r="G22" s="24" t="s">
        <v>35</v>
      </c>
      <c r="H22" s="24" t="s">
        <v>271</v>
      </c>
      <c r="I22" s="25" t="s">
        <v>36</v>
      </c>
      <c r="J22" s="25" t="s">
        <v>8</v>
      </c>
      <c r="K22" s="25"/>
      <c r="L22" s="25"/>
      <c r="M22" s="25">
        <v>0.24299999999999999</v>
      </c>
      <c r="N22" s="25">
        <v>49.4</v>
      </c>
      <c r="O22" s="25">
        <v>0.23</v>
      </c>
      <c r="P22" s="27" t="s">
        <v>34</v>
      </c>
      <c r="Q22" s="25">
        <v>2017</v>
      </c>
    </row>
    <row r="23" spans="1:17" x14ac:dyDescent="0.3">
      <c r="A23" s="24" t="s">
        <v>31</v>
      </c>
      <c r="B23" s="24" t="b">
        <v>1</v>
      </c>
      <c r="C23" s="25">
        <v>11.912000000000001</v>
      </c>
      <c r="D23" s="25">
        <v>3.5</v>
      </c>
      <c r="E23" s="25">
        <v>0.78</v>
      </c>
      <c r="F23" s="1" t="str">
        <f t="shared" si="0"/>
        <v>Tau Ceti# e</v>
      </c>
      <c r="G23" s="24" t="s">
        <v>37</v>
      </c>
      <c r="H23" s="24" t="s">
        <v>273</v>
      </c>
      <c r="I23" s="25" t="s">
        <v>38</v>
      </c>
      <c r="J23" s="25" t="s">
        <v>8</v>
      </c>
      <c r="K23" s="25"/>
      <c r="L23" s="25"/>
      <c r="M23" s="25">
        <v>0.53800000000000003</v>
      </c>
      <c r="N23" s="25">
        <v>163</v>
      </c>
      <c r="O23" s="25">
        <v>0.18</v>
      </c>
      <c r="P23" s="27" t="s">
        <v>34</v>
      </c>
      <c r="Q23" s="25">
        <v>2017</v>
      </c>
    </row>
    <row r="24" spans="1:17" x14ac:dyDescent="0.3">
      <c r="A24" s="24" t="s">
        <v>31</v>
      </c>
      <c r="B24" s="24" t="b">
        <v>1</v>
      </c>
      <c r="C24" s="25">
        <v>11.912000000000001</v>
      </c>
      <c r="D24" s="25">
        <v>3.5</v>
      </c>
      <c r="E24" s="25">
        <v>0.78</v>
      </c>
      <c r="F24" s="1" t="str">
        <f t="shared" si="0"/>
        <v>Tau Ceti# f</v>
      </c>
      <c r="G24" s="24" t="s">
        <v>87</v>
      </c>
      <c r="H24" s="24" t="s">
        <v>273</v>
      </c>
      <c r="I24" s="25" t="s">
        <v>38</v>
      </c>
      <c r="J24" s="25" t="s">
        <v>8</v>
      </c>
      <c r="K24" s="25"/>
      <c r="L24" s="25"/>
      <c r="M24" s="25">
        <v>1.33</v>
      </c>
      <c r="N24" s="25">
        <v>640</v>
      </c>
      <c r="O24" s="25">
        <v>0.16</v>
      </c>
      <c r="P24" s="27" t="s">
        <v>34</v>
      </c>
      <c r="Q24" s="25">
        <v>2017</v>
      </c>
    </row>
    <row r="25" spans="1:17" x14ac:dyDescent="0.3">
      <c r="A25" s="24" t="s">
        <v>39</v>
      </c>
      <c r="B25" s="24" t="b">
        <v>1</v>
      </c>
      <c r="C25" s="25">
        <v>11.984</v>
      </c>
      <c r="D25" s="25">
        <v>7.52</v>
      </c>
      <c r="E25" s="25">
        <v>0.113</v>
      </c>
      <c r="F25" s="1" t="str">
        <f t="shared" si="0"/>
        <v>Gliese 1061# b</v>
      </c>
      <c r="G25" s="24" t="s">
        <v>14</v>
      </c>
      <c r="H25" s="24" t="s">
        <v>271</v>
      </c>
      <c r="I25" s="25" t="s">
        <v>24</v>
      </c>
      <c r="J25" s="25" t="s">
        <v>8</v>
      </c>
      <c r="K25" s="25"/>
      <c r="L25" s="25"/>
      <c r="M25" s="25">
        <v>2.1000000000000001E-2</v>
      </c>
      <c r="N25" s="25">
        <v>3.2</v>
      </c>
      <c r="O25" s="25" t="s">
        <v>40</v>
      </c>
      <c r="P25" s="25" t="s">
        <v>8</v>
      </c>
      <c r="Q25" s="25">
        <v>2019</v>
      </c>
    </row>
    <row r="26" spans="1:17" x14ac:dyDescent="0.3">
      <c r="A26" s="24" t="s">
        <v>39</v>
      </c>
      <c r="B26" s="24" t="b">
        <v>1</v>
      </c>
      <c r="C26" s="25">
        <v>11.984</v>
      </c>
      <c r="D26" s="25">
        <v>7.52</v>
      </c>
      <c r="E26" s="25">
        <v>0.113</v>
      </c>
      <c r="F26" s="1" t="str">
        <f t="shared" si="0"/>
        <v>Gliese 1061# c</v>
      </c>
      <c r="G26" s="24" t="s">
        <v>12</v>
      </c>
      <c r="H26" s="24" t="s">
        <v>273</v>
      </c>
      <c r="I26" s="25" t="s">
        <v>41</v>
      </c>
      <c r="J26" s="25" t="s">
        <v>8</v>
      </c>
      <c r="K26" s="25"/>
      <c r="L26" s="25"/>
      <c r="M26" s="25">
        <v>3.5000000000000003E-2</v>
      </c>
      <c r="N26" s="25">
        <v>6.69</v>
      </c>
      <c r="O26" s="25" t="s">
        <v>42</v>
      </c>
      <c r="P26" s="25" t="s">
        <v>8</v>
      </c>
      <c r="Q26" s="25">
        <v>2019</v>
      </c>
    </row>
    <row r="27" spans="1:17" x14ac:dyDescent="0.3">
      <c r="A27" s="24" t="s">
        <v>39</v>
      </c>
      <c r="B27" s="24" t="b">
        <v>1</v>
      </c>
      <c r="C27" s="25">
        <v>11.984</v>
      </c>
      <c r="D27" s="25">
        <v>7.52</v>
      </c>
      <c r="E27" s="25">
        <v>0.113</v>
      </c>
      <c r="F27" s="1" t="str">
        <f t="shared" si="0"/>
        <v>Gliese 1061# d</v>
      </c>
      <c r="G27" s="24" t="s">
        <v>9</v>
      </c>
      <c r="H27" s="24" t="s">
        <v>273</v>
      </c>
      <c r="I27" s="25" t="s">
        <v>43</v>
      </c>
      <c r="J27" s="25" t="s">
        <v>8</v>
      </c>
      <c r="K27" s="25"/>
      <c r="L27" s="25"/>
      <c r="M27" s="25">
        <v>5.1999999999999998E-2</v>
      </c>
      <c r="N27" s="25">
        <v>12.4</v>
      </c>
      <c r="O27" s="25" t="s">
        <v>44</v>
      </c>
      <c r="P27" s="25" t="s">
        <v>8</v>
      </c>
      <c r="Q27" s="25">
        <v>2019</v>
      </c>
    </row>
    <row r="28" spans="1:17" x14ac:dyDescent="0.3">
      <c r="A28" s="24" t="s">
        <v>45</v>
      </c>
      <c r="B28" s="24" t="b">
        <v>1</v>
      </c>
      <c r="C28" s="25">
        <v>12.122</v>
      </c>
      <c r="D28" s="25">
        <v>12.1</v>
      </c>
      <c r="E28" s="25">
        <v>0.13</v>
      </c>
      <c r="F28" s="1" t="str">
        <f t="shared" si="0"/>
        <v>YZ Ceti# b</v>
      </c>
      <c r="G28" s="24" t="s">
        <v>14</v>
      </c>
      <c r="H28" s="24" t="s">
        <v>272</v>
      </c>
      <c r="I28" s="25" t="s">
        <v>46</v>
      </c>
      <c r="J28" s="25" t="s">
        <v>8</v>
      </c>
      <c r="K28" s="25"/>
      <c r="L28" s="25"/>
      <c r="M28" s="25">
        <v>1.5599999999999999E-2</v>
      </c>
      <c r="N28" s="25">
        <v>1.97</v>
      </c>
      <c r="O28" s="25">
        <v>0</v>
      </c>
      <c r="P28" s="25" t="s">
        <v>8</v>
      </c>
      <c r="Q28" s="25">
        <v>2017</v>
      </c>
    </row>
    <row r="29" spans="1:17" x14ac:dyDescent="0.3">
      <c r="A29" s="24" t="s">
        <v>45</v>
      </c>
      <c r="B29" s="24" t="b">
        <v>1</v>
      </c>
      <c r="C29" s="25">
        <v>12.122</v>
      </c>
      <c r="D29" s="25">
        <v>12.1</v>
      </c>
      <c r="E29" s="25">
        <v>0.13</v>
      </c>
      <c r="F29" s="1" t="str">
        <f t="shared" si="0"/>
        <v>YZ Ceti# c</v>
      </c>
      <c r="G29" s="24" t="s">
        <v>12</v>
      </c>
      <c r="H29" s="24" t="s">
        <v>272</v>
      </c>
      <c r="I29" s="25" t="s">
        <v>11</v>
      </c>
      <c r="J29" s="25" t="s">
        <v>8</v>
      </c>
      <c r="K29" s="25"/>
      <c r="L29" s="25"/>
      <c r="M29" s="25">
        <v>2.0899999999999998E-2</v>
      </c>
      <c r="N29" s="25">
        <v>3.06</v>
      </c>
      <c r="O29" s="25">
        <v>0.04</v>
      </c>
      <c r="P29" s="25" t="s">
        <v>8</v>
      </c>
      <c r="Q29" s="25">
        <v>2017</v>
      </c>
    </row>
    <row r="30" spans="1:17" x14ac:dyDescent="0.3">
      <c r="A30" s="24" t="s">
        <v>45</v>
      </c>
      <c r="B30" s="24" t="b">
        <v>1</v>
      </c>
      <c r="C30" s="25">
        <v>12.122</v>
      </c>
      <c r="D30" s="25">
        <v>12.1</v>
      </c>
      <c r="E30" s="25">
        <v>0.13</v>
      </c>
      <c r="F30" s="1" t="str">
        <f t="shared" si="0"/>
        <v>YZ Ceti# d</v>
      </c>
      <c r="G30" s="24" t="s">
        <v>9</v>
      </c>
      <c r="H30" s="24" t="s">
        <v>272</v>
      </c>
      <c r="I30" s="25" t="s">
        <v>47</v>
      </c>
      <c r="J30" s="25" t="s">
        <v>8</v>
      </c>
      <c r="K30" s="25"/>
      <c r="L30" s="25"/>
      <c r="M30" s="25">
        <v>2.76E-2</v>
      </c>
      <c r="N30" s="25">
        <v>4.66</v>
      </c>
      <c r="O30" s="25">
        <v>0.03</v>
      </c>
      <c r="P30" s="25" t="s">
        <v>8</v>
      </c>
      <c r="Q30" s="25">
        <v>2017</v>
      </c>
    </row>
    <row r="31" spans="1:17" ht="15" customHeight="1" x14ac:dyDescent="0.3">
      <c r="A31" s="24" t="s">
        <v>148</v>
      </c>
      <c r="B31" s="24" t="b">
        <v>1</v>
      </c>
      <c r="C31" s="25">
        <v>12.348000000000001</v>
      </c>
      <c r="D31" s="25">
        <v>11.94</v>
      </c>
      <c r="E31" s="25">
        <v>0.28999999999999998</v>
      </c>
      <c r="F31" s="1" t="str">
        <f t="shared" si="0"/>
        <v>Luyten's Star c</v>
      </c>
      <c r="G31" s="24" t="s">
        <v>12</v>
      </c>
      <c r="H31" s="24" t="s">
        <v>272</v>
      </c>
      <c r="I31" s="25" t="s">
        <v>11</v>
      </c>
      <c r="J31" s="25" t="s">
        <v>8</v>
      </c>
      <c r="K31" s="25"/>
      <c r="L31" s="25"/>
      <c r="M31" s="25">
        <v>3.6499999999999998E-2</v>
      </c>
      <c r="N31" s="25">
        <v>4.72</v>
      </c>
      <c r="O31" s="25">
        <v>0.12</v>
      </c>
      <c r="P31" s="25" t="s">
        <v>8</v>
      </c>
      <c r="Q31" s="25">
        <v>2017</v>
      </c>
    </row>
    <row r="32" spans="1:17" x14ac:dyDescent="0.3">
      <c r="A32" s="24" t="s">
        <v>148</v>
      </c>
      <c r="B32" s="24" t="b">
        <v>1</v>
      </c>
      <c r="C32" s="25">
        <v>12.348000000000001</v>
      </c>
      <c r="D32" s="25">
        <v>11.94</v>
      </c>
      <c r="E32" s="25">
        <v>0.28999999999999998</v>
      </c>
      <c r="F32" s="1" t="str">
        <f t="shared" si="0"/>
        <v>Luyten's Star b</v>
      </c>
      <c r="G32" s="24" t="s">
        <v>14</v>
      </c>
      <c r="H32" s="24" t="s">
        <v>273</v>
      </c>
      <c r="I32" s="25" t="s">
        <v>48</v>
      </c>
      <c r="J32" s="25" t="s">
        <v>8</v>
      </c>
      <c r="K32" s="25">
        <v>-14</v>
      </c>
      <c r="L32" s="25"/>
      <c r="M32" s="25">
        <v>0.09</v>
      </c>
      <c r="N32" s="25">
        <v>18.600000000000001</v>
      </c>
      <c r="O32" s="25">
        <v>0.03</v>
      </c>
      <c r="P32" s="25" t="s">
        <v>8</v>
      </c>
      <c r="Q32" s="25">
        <v>2017</v>
      </c>
    </row>
    <row r="33" spans="1:17" x14ac:dyDescent="0.3">
      <c r="A33" s="24" t="s">
        <v>148</v>
      </c>
      <c r="B33" s="24" t="b">
        <v>1</v>
      </c>
      <c r="C33" s="25">
        <v>12.348000000000001</v>
      </c>
      <c r="D33" s="25">
        <v>11.94</v>
      </c>
      <c r="E33" s="25">
        <v>0.28999999999999998</v>
      </c>
      <c r="F33" s="1" t="str">
        <f t="shared" si="0"/>
        <v>Luyten's Star d</v>
      </c>
      <c r="G33" s="24" t="s">
        <v>9</v>
      </c>
      <c r="H33" s="24" t="s">
        <v>272</v>
      </c>
      <c r="I33" s="25" t="s">
        <v>49</v>
      </c>
      <c r="J33" s="25" t="s">
        <v>8</v>
      </c>
      <c r="K33" s="25"/>
      <c r="L33" s="25"/>
      <c r="M33" s="25">
        <v>0.71199999999999997</v>
      </c>
      <c r="N33" s="25">
        <v>414</v>
      </c>
      <c r="O33" s="25">
        <v>0.17</v>
      </c>
      <c r="P33" s="25" t="s">
        <v>8</v>
      </c>
      <c r="Q33" s="25">
        <v>2019</v>
      </c>
    </row>
    <row r="34" spans="1:17" x14ac:dyDescent="0.3">
      <c r="A34" s="24" t="s">
        <v>148</v>
      </c>
      <c r="B34" s="24" t="b">
        <v>1</v>
      </c>
      <c r="C34" s="25">
        <v>12.348000000000001</v>
      </c>
      <c r="D34" s="25">
        <v>11.94</v>
      </c>
      <c r="E34" s="25">
        <v>0.28999999999999998</v>
      </c>
      <c r="F34" s="1" t="str">
        <f t="shared" si="0"/>
        <v>Luyten's Star e</v>
      </c>
      <c r="G34" s="24" t="s">
        <v>37</v>
      </c>
      <c r="H34" s="24" t="s">
        <v>272</v>
      </c>
      <c r="I34" s="25" t="s">
        <v>50</v>
      </c>
      <c r="J34" s="25" t="s">
        <v>8</v>
      </c>
      <c r="K34" s="25"/>
      <c r="L34" s="25"/>
      <c r="M34" s="25">
        <v>0.84899999999999998</v>
      </c>
      <c r="N34" s="25">
        <v>542</v>
      </c>
      <c r="O34" s="25">
        <v>0.03</v>
      </c>
      <c r="P34" s="25" t="s">
        <v>8</v>
      </c>
      <c r="Q34" s="25">
        <v>2019</v>
      </c>
    </row>
    <row r="35" spans="1:17" ht="15" customHeight="1" x14ac:dyDescent="0.3">
      <c r="A35" s="24" t="s">
        <v>154</v>
      </c>
      <c r="B35" s="24" t="b">
        <v>1</v>
      </c>
      <c r="C35" s="25">
        <v>12.497</v>
      </c>
      <c r="D35" s="25">
        <v>15.4</v>
      </c>
      <c r="E35" s="25">
        <v>0.08</v>
      </c>
      <c r="F35" s="1" t="str">
        <f t="shared" si="0"/>
        <v>Teegarden's Star b</v>
      </c>
      <c r="G35" s="24" t="s">
        <v>14</v>
      </c>
      <c r="H35" s="24" t="s">
        <v>273</v>
      </c>
      <c r="I35" s="25" t="s">
        <v>47</v>
      </c>
      <c r="J35" s="25" t="s">
        <v>8</v>
      </c>
      <c r="K35" s="25"/>
      <c r="L35" s="25"/>
      <c r="M35" s="25">
        <v>2.52E-2</v>
      </c>
      <c r="N35" s="25">
        <v>4.91</v>
      </c>
      <c r="O35" s="25">
        <v>0</v>
      </c>
      <c r="P35" s="25" t="s">
        <v>8</v>
      </c>
      <c r="Q35" s="25">
        <v>2019</v>
      </c>
    </row>
    <row r="36" spans="1:17" x14ac:dyDescent="0.3">
      <c r="A36" s="24" t="s">
        <v>154</v>
      </c>
      <c r="B36" s="24" t="b">
        <v>1</v>
      </c>
      <c r="C36" s="25">
        <v>12.497</v>
      </c>
      <c r="D36" s="25">
        <v>15.4</v>
      </c>
      <c r="E36" s="25">
        <v>0.08</v>
      </c>
      <c r="F36" s="1" t="str">
        <f t="shared" si="0"/>
        <v>Teegarden's Star c</v>
      </c>
      <c r="G36" s="24" t="s">
        <v>12</v>
      </c>
      <c r="H36" s="24" t="s">
        <v>273</v>
      </c>
      <c r="I36" s="25" t="s">
        <v>47</v>
      </c>
      <c r="J36" s="25" t="s">
        <v>8</v>
      </c>
      <c r="K36" s="25"/>
      <c r="L36" s="25"/>
      <c r="M36" s="25">
        <v>4.4299999999999999E-2</v>
      </c>
      <c r="N36" s="25">
        <v>11.4</v>
      </c>
      <c r="O36" s="25">
        <v>0</v>
      </c>
      <c r="P36" s="25" t="s">
        <v>8</v>
      </c>
      <c r="Q36" s="25">
        <v>2019</v>
      </c>
    </row>
    <row r="37" spans="1:17" ht="15" customHeight="1" x14ac:dyDescent="0.3">
      <c r="A37" s="24" t="s">
        <v>155</v>
      </c>
      <c r="B37" s="24" t="b">
        <v>1</v>
      </c>
      <c r="C37" s="25">
        <v>14.05</v>
      </c>
      <c r="D37" s="25">
        <v>10.1</v>
      </c>
      <c r="E37" s="25">
        <v>0.25</v>
      </c>
      <c r="F37" s="1" t="str">
        <f t="shared" si="0"/>
        <v>Wolf 1061 b</v>
      </c>
      <c r="G37" s="24" t="s">
        <v>14</v>
      </c>
      <c r="H37" s="24" t="s">
        <v>272</v>
      </c>
      <c r="I37" s="25" t="s">
        <v>176</v>
      </c>
      <c r="J37" s="25" t="s">
        <v>177</v>
      </c>
      <c r="K37" s="25"/>
      <c r="L37" s="25"/>
      <c r="M37" s="25">
        <v>3.5499999999999997E-2</v>
      </c>
      <c r="N37" s="25">
        <v>4.8899999999999997</v>
      </c>
      <c r="O37" s="25">
        <v>0.03</v>
      </c>
      <c r="P37" s="25" t="s">
        <v>8</v>
      </c>
      <c r="Q37" s="25">
        <v>2015</v>
      </c>
    </row>
    <row r="38" spans="1:17" x14ac:dyDescent="0.3">
      <c r="A38" s="24" t="s">
        <v>155</v>
      </c>
      <c r="B38" s="24" t="b">
        <v>1</v>
      </c>
      <c r="C38" s="25">
        <v>14.05</v>
      </c>
      <c r="D38" s="25">
        <v>10.1</v>
      </c>
      <c r="E38" s="25">
        <v>0.25</v>
      </c>
      <c r="F38" s="1" t="str">
        <f t="shared" si="0"/>
        <v>Wolf 1061 c</v>
      </c>
      <c r="G38" s="24" t="s">
        <v>12</v>
      </c>
      <c r="H38" s="24" t="s">
        <v>273</v>
      </c>
      <c r="I38" s="25" t="s">
        <v>51</v>
      </c>
      <c r="J38" s="25" t="s">
        <v>8</v>
      </c>
      <c r="K38" s="25">
        <v>-50</v>
      </c>
      <c r="L38" s="25"/>
      <c r="M38" s="25">
        <v>8.8999999999999996E-2</v>
      </c>
      <c r="N38" s="25">
        <v>17.899999999999999</v>
      </c>
      <c r="O38" s="25">
        <v>0.03</v>
      </c>
      <c r="P38" s="25" t="s">
        <v>8</v>
      </c>
      <c r="Q38" s="25">
        <v>2015</v>
      </c>
    </row>
    <row r="39" spans="1:17" x14ac:dyDescent="0.3">
      <c r="A39" s="24" t="s">
        <v>155</v>
      </c>
      <c r="B39" s="24" t="b">
        <v>1</v>
      </c>
      <c r="C39" s="25">
        <v>14.05</v>
      </c>
      <c r="D39" s="25">
        <v>10.1</v>
      </c>
      <c r="E39" s="25">
        <v>0.25</v>
      </c>
      <c r="F39" s="1" t="str">
        <f t="shared" si="0"/>
        <v>Wolf 1061 d</v>
      </c>
      <c r="G39" s="24" t="s">
        <v>9</v>
      </c>
      <c r="H39" s="24" t="b">
        <v>0</v>
      </c>
      <c r="I39" s="25" t="s">
        <v>52</v>
      </c>
      <c r="J39" s="25" t="s">
        <v>8</v>
      </c>
      <c r="K39" s="25">
        <v>-155</v>
      </c>
      <c r="L39" s="25"/>
      <c r="M39" s="25">
        <v>0.42099999999999999</v>
      </c>
      <c r="N39" s="25">
        <v>184</v>
      </c>
      <c r="O39" s="25">
        <v>0.02</v>
      </c>
      <c r="P39" s="25" t="s">
        <v>8</v>
      </c>
      <c r="Q39" s="25">
        <v>2015</v>
      </c>
    </row>
    <row r="40" spans="1:17" x14ac:dyDescent="0.3">
      <c r="A40" s="24" t="s">
        <v>53</v>
      </c>
      <c r="B40" s="24"/>
      <c r="C40" s="25">
        <v>14.577999999999999</v>
      </c>
      <c r="D40" s="25">
        <v>12.3</v>
      </c>
      <c r="E40" s="25">
        <v>0.14000000000000001</v>
      </c>
      <c r="F40" s="1" t="str">
        <f t="shared" si="0"/>
        <v>TZ Arietis b</v>
      </c>
      <c r="G40" s="24" t="s">
        <v>14</v>
      </c>
      <c r="H40" s="24" t="s">
        <v>272</v>
      </c>
      <c r="I40" s="25" t="s">
        <v>54</v>
      </c>
      <c r="J40" s="25" t="s">
        <v>8</v>
      </c>
      <c r="K40" s="25"/>
      <c r="L40" s="25"/>
      <c r="M40" s="25">
        <v>0.88</v>
      </c>
      <c r="N40" s="25">
        <v>771</v>
      </c>
      <c r="O40" s="25">
        <v>0.46</v>
      </c>
      <c r="P40" s="25" t="s">
        <v>8</v>
      </c>
      <c r="Q40" s="25">
        <v>2019</v>
      </c>
    </row>
    <row r="41" spans="1:17" ht="15" customHeight="1" x14ac:dyDescent="0.3">
      <c r="A41" s="24" t="s">
        <v>156</v>
      </c>
      <c r="B41" s="24" t="b">
        <v>1</v>
      </c>
      <c r="C41" s="25">
        <v>14.839</v>
      </c>
      <c r="D41" s="25">
        <v>9.15</v>
      </c>
      <c r="E41" s="25">
        <v>0.41</v>
      </c>
      <c r="F41" s="1" t="str">
        <f t="shared" si="0"/>
        <v>Gliese 687 b</v>
      </c>
      <c r="G41" s="24" t="s">
        <v>14</v>
      </c>
      <c r="H41" s="24" t="s">
        <v>272</v>
      </c>
      <c r="I41" s="25" t="s">
        <v>55</v>
      </c>
      <c r="J41" s="25" t="s">
        <v>8</v>
      </c>
      <c r="K41" s="25"/>
      <c r="L41" s="25"/>
      <c r="M41" s="25">
        <v>0.16300000000000001</v>
      </c>
      <c r="N41" s="25">
        <v>38.1</v>
      </c>
      <c r="O41" s="25">
        <v>0.17</v>
      </c>
      <c r="P41" s="25" t="s">
        <v>8</v>
      </c>
      <c r="Q41" s="25">
        <v>2014</v>
      </c>
    </row>
    <row r="42" spans="1:17" x14ac:dyDescent="0.3">
      <c r="A42" s="24" t="s">
        <v>156</v>
      </c>
      <c r="B42" s="24" t="b">
        <v>1</v>
      </c>
      <c r="C42" s="25">
        <v>14.839</v>
      </c>
      <c r="D42" s="25">
        <v>9.15</v>
      </c>
      <c r="E42" s="25">
        <v>0.41</v>
      </c>
      <c r="F42" s="1" t="str">
        <f t="shared" si="0"/>
        <v>Gliese 687 c</v>
      </c>
      <c r="G42" s="24" t="s">
        <v>12</v>
      </c>
      <c r="H42" s="24" t="s">
        <v>272</v>
      </c>
      <c r="I42" s="25" t="s">
        <v>56</v>
      </c>
      <c r="J42" s="25" t="s">
        <v>8</v>
      </c>
      <c r="K42" s="25"/>
      <c r="L42" s="25"/>
      <c r="M42" s="25">
        <v>1.165</v>
      </c>
      <c r="N42" s="25">
        <v>728</v>
      </c>
      <c r="O42" s="25">
        <v>0.4</v>
      </c>
      <c r="P42" s="25" t="s">
        <v>8</v>
      </c>
      <c r="Q42" s="25">
        <v>2019</v>
      </c>
    </row>
    <row r="43" spans="1:17" x14ac:dyDescent="0.3">
      <c r="A43" s="24" t="s">
        <v>57</v>
      </c>
      <c r="B43" s="24"/>
      <c r="C43" s="25">
        <v>14.849</v>
      </c>
      <c r="D43" s="25">
        <v>9.3800000000000008</v>
      </c>
      <c r="E43" s="25">
        <v>0.35</v>
      </c>
      <c r="F43" s="1" t="str">
        <f t="shared" si="0"/>
        <v>Gliese 674 b</v>
      </c>
      <c r="G43" s="24" t="s">
        <v>14</v>
      </c>
      <c r="H43" s="24" t="s">
        <v>272</v>
      </c>
      <c r="I43" s="25" t="s">
        <v>58</v>
      </c>
      <c r="J43" s="25" t="s">
        <v>8</v>
      </c>
      <c r="K43" s="25"/>
      <c r="L43" s="25"/>
      <c r="M43" s="25">
        <v>3.9E-2</v>
      </c>
      <c r="N43" s="25">
        <v>4.6900000000000004</v>
      </c>
      <c r="O43" s="25">
        <v>0.23</v>
      </c>
      <c r="P43" s="25" t="s">
        <v>8</v>
      </c>
      <c r="Q43" s="25">
        <v>2007</v>
      </c>
    </row>
    <row r="44" spans="1:17" ht="15" customHeight="1" x14ac:dyDescent="0.3">
      <c r="A44" s="24" t="s">
        <v>157</v>
      </c>
      <c r="B44" s="24" t="b">
        <v>1</v>
      </c>
      <c r="C44" s="25">
        <v>15.238</v>
      </c>
      <c r="D44" s="25">
        <v>10.199999999999999</v>
      </c>
      <c r="E44" s="25">
        <v>0.33</v>
      </c>
      <c r="F44" s="1" t="str">
        <f t="shared" si="0"/>
        <v>Gliese 876 d</v>
      </c>
      <c r="G44" s="24" t="s">
        <v>9</v>
      </c>
      <c r="H44" s="24" t="b">
        <v>0</v>
      </c>
      <c r="I44" s="25">
        <v>6.8</v>
      </c>
      <c r="J44" s="25" t="s">
        <v>8</v>
      </c>
      <c r="K44" s="25">
        <v>377</v>
      </c>
      <c r="L44" s="25"/>
      <c r="M44" s="25">
        <v>2.0799999999999999E-2</v>
      </c>
      <c r="N44" s="25">
        <v>1.94</v>
      </c>
      <c r="O44" s="25">
        <v>0.12</v>
      </c>
      <c r="P44" s="25">
        <v>59.5</v>
      </c>
      <c r="Q44" s="25">
        <v>2005</v>
      </c>
    </row>
    <row r="45" spans="1:17" x14ac:dyDescent="0.3">
      <c r="A45" s="24" t="s">
        <v>157</v>
      </c>
      <c r="B45" s="24" t="b">
        <v>1</v>
      </c>
      <c r="C45" s="25">
        <v>15.238</v>
      </c>
      <c r="D45" s="25">
        <v>10.199999999999999</v>
      </c>
      <c r="E45" s="25">
        <v>0.33</v>
      </c>
      <c r="F45" s="1" t="str">
        <f t="shared" si="0"/>
        <v>Gliese 876 c</v>
      </c>
      <c r="G45" s="24" t="s">
        <v>12</v>
      </c>
      <c r="H45" s="24" t="s">
        <v>272</v>
      </c>
      <c r="I45" s="25">
        <v>230</v>
      </c>
      <c r="J45" s="25" t="s">
        <v>8</v>
      </c>
      <c r="K45" s="25"/>
      <c r="L45" s="25"/>
      <c r="M45" s="25">
        <v>0.13300000000000001</v>
      </c>
      <c r="N45" s="25">
        <v>30.2</v>
      </c>
      <c r="O45" s="25">
        <v>1E-3</v>
      </c>
      <c r="P45" s="25">
        <v>59.5</v>
      </c>
      <c r="Q45" s="25">
        <v>2000</v>
      </c>
    </row>
    <row r="46" spans="1:17" x14ac:dyDescent="0.3">
      <c r="A46" s="24" t="s">
        <v>157</v>
      </c>
      <c r="B46" s="24" t="b">
        <v>1</v>
      </c>
      <c r="C46" s="25">
        <v>15.238</v>
      </c>
      <c r="D46" s="25">
        <v>10.199999999999999</v>
      </c>
      <c r="E46" s="25">
        <v>0.33</v>
      </c>
      <c r="F46" s="1" t="str">
        <f t="shared" si="0"/>
        <v>Gliese 876 b</v>
      </c>
      <c r="G46" s="24" t="s">
        <v>14</v>
      </c>
      <c r="H46" s="24" t="s">
        <v>272</v>
      </c>
      <c r="I46" s="25">
        <v>720</v>
      </c>
      <c r="J46" s="25" t="s">
        <v>8</v>
      </c>
      <c r="K46" s="25"/>
      <c r="L46" s="25"/>
      <c r="M46" s="25">
        <v>0.21299999999999999</v>
      </c>
      <c r="N46" s="25">
        <v>61</v>
      </c>
      <c r="O46" s="25">
        <v>1E-3</v>
      </c>
      <c r="P46" s="25">
        <v>59.5</v>
      </c>
      <c r="Q46" s="25">
        <v>1998</v>
      </c>
    </row>
    <row r="47" spans="1:17" x14ac:dyDescent="0.3">
      <c r="A47" s="24" t="s">
        <v>157</v>
      </c>
      <c r="B47" s="24" t="b">
        <v>1</v>
      </c>
      <c r="C47" s="25">
        <v>15.238</v>
      </c>
      <c r="D47" s="25">
        <v>10.199999999999999</v>
      </c>
      <c r="E47" s="25">
        <v>0.33</v>
      </c>
      <c r="F47" s="1" t="str">
        <f t="shared" si="0"/>
        <v>Gliese 876 e</v>
      </c>
      <c r="G47" s="24" t="s">
        <v>37</v>
      </c>
      <c r="H47" s="24" t="s">
        <v>272</v>
      </c>
      <c r="I47" s="25">
        <v>15</v>
      </c>
      <c r="J47" s="25" t="s">
        <v>8</v>
      </c>
      <c r="K47" s="25"/>
      <c r="L47" s="25"/>
      <c r="M47" s="25">
        <v>0.34200000000000003</v>
      </c>
      <c r="N47" s="25">
        <v>125</v>
      </c>
      <c r="O47" s="25">
        <v>0.18</v>
      </c>
      <c r="P47" s="25">
        <v>59.5</v>
      </c>
      <c r="Q47" s="25">
        <v>2010</v>
      </c>
    </row>
    <row r="48" spans="1:17" x14ac:dyDescent="0.3">
      <c r="A48" s="24" t="s">
        <v>158</v>
      </c>
      <c r="B48" s="24"/>
      <c r="C48" s="25">
        <v>16.2</v>
      </c>
      <c r="D48" s="25">
        <v>8.67</v>
      </c>
      <c r="E48" s="25">
        <v>0.45</v>
      </c>
      <c r="F48" s="1" t="str">
        <f t="shared" si="0"/>
        <v>Gliese 832 b</v>
      </c>
      <c r="G48" s="24" t="s">
        <v>14</v>
      </c>
      <c r="H48" s="24" t="s">
        <v>272</v>
      </c>
      <c r="I48" s="25" t="s">
        <v>59</v>
      </c>
      <c r="J48" s="25" t="s">
        <v>8</v>
      </c>
      <c r="K48" s="25"/>
      <c r="L48" s="25"/>
      <c r="M48" s="25">
        <v>3.67</v>
      </c>
      <c r="N48" s="26">
        <v>3830</v>
      </c>
      <c r="O48" s="25">
        <v>0.06</v>
      </c>
      <c r="P48" s="25" t="s">
        <v>8</v>
      </c>
      <c r="Q48" s="25">
        <v>2008</v>
      </c>
    </row>
    <row r="49" spans="1:17" x14ac:dyDescent="0.3">
      <c r="A49" s="24" t="s">
        <v>158</v>
      </c>
      <c r="B49" s="24"/>
      <c r="C49" s="25">
        <v>16.16</v>
      </c>
      <c r="D49" s="25">
        <v>8.67</v>
      </c>
      <c r="E49" s="25">
        <v>0.45</v>
      </c>
      <c r="F49" s="1" t="str">
        <f t="shared" ref="F49" si="1">A49&amp; " " &amp;G49</f>
        <v>Gliese 832 c</v>
      </c>
      <c r="G49" s="24" t="s">
        <v>12</v>
      </c>
      <c r="H49" s="24" t="s">
        <v>272</v>
      </c>
      <c r="I49" s="25" t="s">
        <v>98</v>
      </c>
      <c r="J49" s="25" t="s">
        <v>8</v>
      </c>
      <c r="K49" s="25">
        <v>-8</v>
      </c>
      <c r="L49" s="25"/>
      <c r="M49" s="25">
        <v>0.16200000000000001</v>
      </c>
      <c r="N49" s="26">
        <v>35.68</v>
      </c>
      <c r="O49" s="25">
        <v>0.18</v>
      </c>
      <c r="P49" s="25" t="s">
        <v>8</v>
      </c>
      <c r="Q49" s="25">
        <v>2008</v>
      </c>
    </row>
    <row r="50" spans="1:17" ht="15" customHeight="1" x14ac:dyDescent="0.3">
      <c r="A50" s="24" t="s">
        <v>159</v>
      </c>
      <c r="B50" s="24" t="b">
        <v>1</v>
      </c>
      <c r="C50" s="25">
        <v>17.530999999999999</v>
      </c>
      <c r="D50" s="25">
        <v>12.2</v>
      </c>
      <c r="E50" s="25">
        <v>0.16400000000000001</v>
      </c>
      <c r="F50" s="1" t="str">
        <f t="shared" si="0"/>
        <v>Gliese 3323 b</v>
      </c>
      <c r="G50" s="24" t="s">
        <v>14</v>
      </c>
      <c r="H50" s="24" t="s">
        <v>272</v>
      </c>
      <c r="I50" s="25" t="s">
        <v>60</v>
      </c>
      <c r="J50" s="25" t="s">
        <v>8</v>
      </c>
      <c r="K50" s="25"/>
      <c r="L50" s="25"/>
      <c r="M50" s="25">
        <v>3.2800000000000003E-2</v>
      </c>
      <c r="N50" s="25">
        <v>5.36</v>
      </c>
      <c r="O50" s="25">
        <v>0.2</v>
      </c>
      <c r="P50" s="25" t="s">
        <v>8</v>
      </c>
      <c r="Q50" s="25">
        <v>2017</v>
      </c>
    </row>
    <row r="51" spans="1:17" x14ac:dyDescent="0.3">
      <c r="A51" s="24" t="s">
        <v>159</v>
      </c>
      <c r="B51" s="24" t="b">
        <v>1</v>
      </c>
      <c r="C51" s="25">
        <v>17.530999999999999</v>
      </c>
      <c r="D51" s="25">
        <v>12.2</v>
      </c>
      <c r="E51" s="25">
        <v>0.16400000000000001</v>
      </c>
      <c r="F51" s="1" t="str">
        <f t="shared" si="0"/>
        <v>Gliese 3323 c</v>
      </c>
      <c r="G51" s="24" t="s">
        <v>12</v>
      </c>
      <c r="H51" s="24" t="s">
        <v>272</v>
      </c>
      <c r="I51" s="25" t="s">
        <v>61</v>
      </c>
      <c r="J51" s="25" t="s">
        <v>8</v>
      </c>
      <c r="K51" s="25"/>
      <c r="L51" s="25"/>
      <c r="M51" s="25">
        <v>0.126</v>
      </c>
      <c r="N51" s="25">
        <v>40.5</v>
      </c>
      <c r="O51" s="25">
        <v>0.2</v>
      </c>
      <c r="P51" s="25" t="s">
        <v>8</v>
      </c>
      <c r="Q51" s="25">
        <v>2017</v>
      </c>
    </row>
    <row r="52" spans="1:17" x14ac:dyDescent="0.3">
      <c r="A52" s="24" t="s">
        <v>62</v>
      </c>
      <c r="B52" s="24"/>
      <c r="C52" s="25">
        <v>18.215</v>
      </c>
      <c r="D52" s="25">
        <v>9.65</v>
      </c>
      <c r="E52" s="25">
        <v>0.372</v>
      </c>
      <c r="F52" s="1" t="str">
        <f t="shared" si="0"/>
        <v>Gliese 251 b</v>
      </c>
      <c r="G52" s="24" t="s">
        <v>14</v>
      </c>
      <c r="H52" s="24" t="s">
        <v>272</v>
      </c>
      <c r="I52" s="25" t="s">
        <v>63</v>
      </c>
      <c r="J52" s="25" t="s">
        <v>8</v>
      </c>
      <c r="K52" s="25"/>
      <c r="L52" s="25"/>
      <c r="M52" s="25">
        <v>8.1799999999999998E-2</v>
      </c>
      <c r="N52" s="25">
        <v>14.2</v>
      </c>
      <c r="O52" s="25">
        <v>0.1</v>
      </c>
      <c r="P52" s="25" t="s">
        <v>8</v>
      </c>
      <c r="Q52" s="25">
        <v>2020</v>
      </c>
    </row>
    <row r="53" spans="1:17" ht="15" customHeight="1" x14ac:dyDescent="0.3">
      <c r="A53" s="24" t="s">
        <v>160</v>
      </c>
      <c r="B53" s="24" t="b">
        <v>1</v>
      </c>
      <c r="C53" s="25">
        <v>18.603999999999999</v>
      </c>
      <c r="D53" s="25">
        <v>7.97</v>
      </c>
      <c r="E53" s="25">
        <v>0.63</v>
      </c>
      <c r="F53" s="1" t="str">
        <f t="shared" si="0"/>
        <v>Gliese 205 b</v>
      </c>
      <c r="G53" s="24" t="s">
        <v>14</v>
      </c>
      <c r="H53" s="24" t="s">
        <v>272</v>
      </c>
      <c r="I53" s="25" t="s">
        <v>64</v>
      </c>
      <c r="J53" s="25" t="s">
        <v>8</v>
      </c>
      <c r="K53" s="25"/>
      <c r="L53" s="25"/>
      <c r="M53" s="25">
        <v>0.109</v>
      </c>
      <c r="N53" s="25">
        <v>16.899999999999999</v>
      </c>
      <c r="O53" s="25">
        <v>0.11</v>
      </c>
      <c r="P53" s="25" t="s">
        <v>8</v>
      </c>
      <c r="Q53" s="25">
        <v>2019</v>
      </c>
    </row>
    <row r="54" spans="1:17" x14ac:dyDescent="0.3">
      <c r="A54" s="24" t="s">
        <v>160</v>
      </c>
      <c r="B54" s="24" t="b">
        <v>1</v>
      </c>
      <c r="C54" s="25">
        <v>18.603999999999999</v>
      </c>
      <c r="D54" s="25">
        <v>7.97</v>
      </c>
      <c r="E54" s="25">
        <v>0.63</v>
      </c>
      <c r="F54" s="1" t="str">
        <f t="shared" si="0"/>
        <v>Gliese 205 c</v>
      </c>
      <c r="G54" s="24" t="s">
        <v>12</v>
      </c>
      <c r="H54" s="24" t="s">
        <v>272</v>
      </c>
      <c r="I54" s="25" t="s">
        <v>65</v>
      </c>
      <c r="J54" s="25" t="s">
        <v>8</v>
      </c>
      <c r="K54" s="25"/>
      <c r="L54" s="25"/>
      <c r="M54" s="25">
        <v>0.68899999999999995</v>
      </c>
      <c r="N54" s="25">
        <v>271</v>
      </c>
      <c r="O54" s="25">
        <v>0.04</v>
      </c>
      <c r="P54" s="25" t="s">
        <v>8</v>
      </c>
      <c r="Q54" s="25">
        <v>2019</v>
      </c>
    </row>
    <row r="55" spans="1:17" x14ac:dyDescent="0.3">
      <c r="A55" s="24" t="s">
        <v>163</v>
      </c>
      <c r="B55" s="24" t="b">
        <v>1</v>
      </c>
      <c r="C55" s="25">
        <v>18.791</v>
      </c>
      <c r="D55" s="25">
        <v>8.14</v>
      </c>
      <c r="E55" s="25">
        <v>0.57999999999999996</v>
      </c>
      <c r="F55" s="1" t="str">
        <f t="shared" si="0"/>
        <v>Gliese 229 A c</v>
      </c>
      <c r="G55" s="24" t="s">
        <v>12</v>
      </c>
      <c r="H55" s="24" t="s">
        <v>273</v>
      </c>
      <c r="I55" s="25" t="s">
        <v>66</v>
      </c>
      <c r="J55" s="25" t="s">
        <v>8</v>
      </c>
      <c r="K55" s="25"/>
      <c r="L55" s="25"/>
      <c r="M55" s="25">
        <v>0.33900000000000002</v>
      </c>
      <c r="N55" s="25">
        <v>122</v>
      </c>
      <c r="O55" s="25">
        <v>0.19</v>
      </c>
      <c r="P55" s="25" t="s">
        <v>8</v>
      </c>
      <c r="Q55" s="25">
        <v>2020</v>
      </c>
    </row>
    <row r="56" spans="1:17" x14ac:dyDescent="0.3">
      <c r="A56" s="24" t="s">
        <v>163</v>
      </c>
      <c r="B56" s="24" t="b">
        <v>1</v>
      </c>
      <c r="C56" s="25">
        <v>18.791</v>
      </c>
      <c r="D56" s="25">
        <v>8.14</v>
      </c>
      <c r="E56" s="25">
        <v>0.57999999999999996</v>
      </c>
      <c r="F56" s="1" t="str">
        <f t="shared" si="0"/>
        <v>Gliese 229 A b</v>
      </c>
      <c r="G56" s="24" t="s">
        <v>14</v>
      </c>
      <c r="H56" s="24" t="s">
        <v>272</v>
      </c>
      <c r="I56" s="25" t="s">
        <v>67</v>
      </c>
      <c r="J56" s="25" t="s">
        <v>8</v>
      </c>
      <c r="K56" s="25"/>
      <c r="L56" s="25"/>
      <c r="M56" s="25">
        <v>0.89800000000000002</v>
      </c>
      <c r="N56" s="25">
        <v>526</v>
      </c>
      <c r="O56" s="25">
        <v>0.1</v>
      </c>
      <c r="P56" s="25" t="s">
        <v>8</v>
      </c>
      <c r="Q56" s="25">
        <v>2014</v>
      </c>
    </row>
    <row r="57" spans="1:17" x14ac:dyDescent="0.3">
      <c r="A57" s="24" t="s">
        <v>68</v>
      </c>
      <c r="B57" s="24"/>
      <c r="C57" s="25">
        <v>19.271999999999998</v>
      </c>
      <c r="D57" s="25">
        <v>12.23</v>
      </c>
      <c r="E57" s="25">
        <v>0.18</v>
      </c>
      <c r="F57" s="1" t="str">
        <f t="shared" si="0"/>
        <v>Gliese 754 b</v>
      </c>
      <c r="G57" s="24" t="s">
        <v>14</v>
      </c>
      <c r="H57" s="24" t="s">
        <v>272</v>
      </c>
      <c r="I57" s="25" t="s">
        <v>69</v>
      </c>
      <c r="J57" s="25" t="s">
        <v>8</v>
      </c>
      <c r="K57" s="25"/>
      <c r="L57" s="25"/>
      <c r="M57" s="25">
        <v>0.27700000000000002</v>
      </c>
      <c r="N57" s="25">
        <v>78.400000000000006</v>
      </c>
      <c r="O57" s="25">
        <v>0.03</v>
      </c>
      <c r="P57" s="25" t="s">
        <v>8</v>
      </c>
      <c r="Q57" s="25">
        <v>2019</v>
      </c>
    </row>
    <row r="58" spans="1:17" x14ac:dyDescent="0.3">
      <c r="A58" s="24" t="s">
        <v>70</v>
      </c>
      <c r="B58" s="24"/>
      <c r="C58" s="25">
        <v>19.292000000000002</v>
      </c>
      <c r="D58" s="25">
        <v>9.1300000000000008</v>
      </c>
      <c r="E58" s="25">
        <v>0.46</v>
      </c>
      <c r="F58" s="1" t="str">
        <f t="shared" si="0"/>
        <v>Gliese 752 A b</v>
      </c>
      <c r="G58" s="24" t="s">
        <v>14</v>
      </c>
      <c r="H58" s="24" t="s">
        <v>272</v>
      </c>
      <c r="I58" s="25" t="s">
        <v>71</v>
      </c>
      <c r="J58" s="25" t="s">
        <v>8</v>
      </c>
      <c r="K58" s="25"/>
      <c r="L58" s="25"/>
      <c r="M58" s="25">
        <v>0.33800000000000002</v>
      </c>
      <c r="N58" s="25">
        <v>106</v>
      </c>
      <c r="O58" s="25">
        <v>0.03</v>
      </c>
      <c r="P58" s="25" t="s">
        <v>8</v>
      </c>
      <c r="Q58" s="25">
        <v>2018</v>
      </c>
    </row>
    <row r="59" spans="1:17" ht="15" customHeight="1" x14ac:dyDescent="0.3">
      <c r="A59" s="24" t="s">
        <v>161</v>
      </c>
      <c r="B59" s="24" t="b">
        <v>1</v>
      </c>
      <c r="C59" s="25">
        <v>19.3</v>
      </c>
      <c r="D59" s="25">
        <v>9.31</v>
      </c>
      <c r="E59" s="25">
        <v>0.46</v>
      </c>
      <c r="F59" s="1" t="str">
        <f t="shared" si="0"/>
        <v>Gliese 588 b</v>
      </c>
      <c r="G59" s="24" t="s">
        <v>14</v>
      </c>
      <c r="H59" s="24" t="s">
        <v>272</v>
      </c>
      <c r="I59" s="25" t="s">
        <v>72</v>
      </c>
      <c r="J59" s="25" t="s">
        <v>8</v>
      </c>
      <c r="K59" s="25"/>
      <c r="L59" s="25"/>
      <c r="M59" s="25">
        <v>4.9000000000000002E-2</v>
      </c>
      <c r="N59" s="25">
        <v>5.81</v>
      </c>
      <c r="O59" s="25">
        <v>0.04</v>
      </c>
      <c r="P59" s="25" t="s">
        <v>8</v>
      </c>
      <c r="Q59" s="25">
        <v>2019</v>
      </c>
    </row>
    <row r="60" spans="1:17" x14ac:dyDescent="0.3">
      <c r="A60" s="24" t="s">
        <v>161</v>
      </c>
      <c r="B60" s="24" t="b">
        <v>1</v>
      </c>
      <c r="C60" s="25">
        <v>19.3</v>
      </c>
      <c r="D60" s="25">
        <v>9.31</v>
      </c>
      <c r="E60" s="25">
        <v>0.46</v>
      </c>
      <c r="F60" s="1" t="str">
        <f t="shared" si="0"/>
        <v>Gliese 588 c</v>
      </c>
      <c r="G60" s="24" t="s">
        <v>12</v>
      </c>
      <c r="H60" s="24" t="s">
        <v>272</v>
      </c>
      <c r="I60" s="25" t="s">
        <v>64</v>
      </c>
      <c r="J60" s="25" t="s">
        <v>8</v>
      </c>
      <c r="K60" s="25"/>
      <c r="L60" s="25"/>
      <c r="M60" s="25">
        <v>0.53</v>
      </c>
      <c r="N60" s="25">
        <v>206</v>
      </c>
      <c r="O60" s="25">
        <v>0.06</v>
      </c>
      <c r="P60" s="25" t="s">
        <v>8</v>
      </c>
      <c r="Q60" s="25">
        <v>2019</v>
      </c>
    </row>
    <row r="61" spans="1:17" x14ac:dyDescent="0.3">
      <c r="A61" s="24" t="s">
        <v>162</v>
      </c>
      <c r="B61" s="24" t="b">
        <v>1</v>
      </c>
      <c r="C61" s="25">
        <v>19.704000000000001</v>
      </c>
      <c r="D61" s="25">
        <v>4.26</v>
      </c>
      <c r="E61" s="25">
        <v>0.85</v>
      </c>
      <c r="F61" s="1" t="str">
        <f t="shared" si="0"/>
        <v>82 G. Eridani b</v>
      </c>
      <c r="G61" s="24" t="s">
        <v>14</v>
      </c>
      <c r="H61" s="24" t="s">
        <v>272</v>
      </c>
      <c r="I61" s="25" t="s">
        <v>84</v>
      </c>
      <c r="J61" s="25" t="s">
        <v>8</v>
      </c>
      <c r="K61" s="25"/>
      <c r="L61" s="25"/>
      <c r="M61" s="25">
        <v>0.127</v>
      </c>
      <c r="N61" s="25">
        <v>18.3</v>
      </c>
      <c r="O61" s="25">
        <v>0.2</v>
      </c>
      <c r="P61" s="25" t="s">
        <v>8</v>
      </c>
      <c r="Q61" s="25">
        <v>2011</v>
      </c>
    </row>
    <row r="62" spans="1:17" x14ac:dyDescent="0.3">
      <c r="A62" s="24" t="s">
        <v>162</v>
      </c>
      <c r="B62" s="24" t="b">
        <v>1</v>
      </c>
      <c r="C62" s="25">
        <v>19.704000000000001</v>
      </c>
      <c r="D62" s="25">
        <v>4.26</v>
      </c>
      <c r="E62" s="25">
        <v>0.85</v>
      </c>
      <c r="F62" s="1" t="str">
        <f t="shared" si="0"/>
        <v>82 G. Eridani c</v>
      </c>
      <c r="G62" s="24" t="s">
        <v>12</v>
      </c>
      <c r="H62" s="24" t="s">
        <v>272</v>
      </c>
      <c r="I62" s="25" t="s">
        <v>179</v>
      </c>
      <c r="J62" s="25" t="s">
        <v>8</v>
      </c>
      <c r="K62" s="25"/>
      <c r="L62" s="25"/>
      <c r="M62" s="25">
        <v>0.22500000000000001</v>
      </c>
      <c r="N62" s="25">
        <v>43.17</v>
      </c>
      <c r="O62" s="25">
        <v>0.17</v>
      </c>
      <c r="P62" s="25" t="s">
        <v>8</v>
      </c>
      <c r="Q62" s="25">
        <v>2011</v>
      </c>
    </row>
    <row r="63" spans="1:17" x14ac:dyDescent="0.3">
      <c r="A63" s="24" t="s">
        <v>162</v>
      </c>
      <c r="B63" s="24" t="b">
        <v>1</v>
      </c>
      <c r="C63" s="25">
        <v>19.704000000000001</v>
      </c>
      <c r="D63" s="25">
        <v>4.26</v>
      </c>
      <c r="E63" s="25">
        <v>0.85</v>
      </c>
      <c r="F63" s="1" t="str">
        <f t="shared" si="0"/>
        <v>82 G. Eridani d</v>
      </c>
      <c r="G63" s="24" t="s">
        <v>9</v>
      </c>
      <c r="H63" s="24" t="s">
        <v>272</v>
      </c>
      <c r="I63" s="25" t="s">
        <v>180</v>
      </c>
      <c r="J63" s="25" t="s">
        <v>8</v>
      </c>
      <c r="K63" s="25"/>
      <c r="L63" s="25"/>
      <c r="M63" s="25">
        <v>0.36399999999999999</v>
      </c>
      <c r="N63" s="25">
        <v>88.9</v>
      </c>
      <c r="O63" s="25">
        <v>0.25</v>
      </c>
      <c r="P63" s="25" t="s">
        <v>8</v>
      </c>
      <c r="Q63" s="25">
        <v>2011</v>
      </c>
    </row>
    <row r="64" spans="1:17" x14ac:dyDescent="0.3">
      <c r="A64" s="24" t="s">
        <v>162</v>
      </c>
      <c r="B64" s="24" t="b">
        <v>1</v>
      </c>
      <c r="C64" s="25">
        <v>19.704000000000001</v>
      </c>
      <c r="D64" s="25">
        <v>4.26</v>
      </c>
      <c r="E64" s="25">
        <v>0.85</v>
      </c>
      <c r="F64" s="1" t="str">
        <f t="shared" si="0"/>
        <v>82 G. Eridani e</v>
      </c>
      <c r="G64" s="24" t="s">
        <v>37</v>
      </c>
      <c r="H64" s="24" t="s">
        <v>272</v>
      </c>
      <c r="I64" s="25" t="s">
        <v>74</v>
      </c>
      <c r="J64" s="25" t="s">
        <v>8</v>
      </c>
      <c r="K64" s="25"/>
      <c r="L64" s="25"/>
      <c r="M64" s="25">
        <v>0.50900000000000001</v>
      </c>
      <c r="N64" s="25">
        <v>147</v>
      </c>
      <c r="O64" s="25">
        <v>0.28999999999999998</v>
      </c>
      <c r="P64" s="25" t="s">
        <v>8</v>
      </c>
      <c r="Q64" s="25">
        <v>2017</v>
      </c>
    </row>
    <row r="65" spans="1:17" x14ac:dyDescent="0.3">
      <c r="A65" s="24" t="s">
        <v>75</v>
      </c>
      <c r="B65" s="24"/>
      <c r="C65" s="25">
        <v>20.106000000000002</v>
      </c>
      <c r="D65" s="25">
        <v>7.97</v>
      </c>
      <c r="E65" s="25">
        <v>0.5</v>
      </c>
      <c r="F65" s="1" t="str">
        <f t="shared" si="0"/>
        <v>Gliese 784 b</v>
      </c>
      <c r="G65" s="24" t="s">
        <v>14</v>
      </c>
      <c r="H65" s="24" t="s">
        <v>272</v>
      </c>
      <c r="I65" s="25" t="s">
        <v>76</v>
      </c>
      <c r="J65" s="25" t="s">
        <v>8</v>
      </c>
      <c r="K65" s="25"/>
      <c r="L65" s="25"/>
      <c r="M65" s="25">
        <v>5.8999999999999997E-2</v>
      </c>
      <c r="N65" s="25">
        <v>6.66</v>
      </c>
      <c r="O65" s="25">
        <v>0.05</v>
      </c>
      <c r="P65" s="25" t="s">
        <v>8</v>
      </c>
      <c r="Q65" s="25">
        <v>2019</v>
      </c>
    </row>
    <row r="66" spans="1:17" x14ac:dyDescent="0.3">
      <c r="A66" s="24" t="s">
        <v>77</v>
      </c>
      <c r="B66" s="24"/>
      <c r="C66" s="25">
        <v>20.395</v>
      </c>
      <c r="D66" s="25">
        <v>11.32</v>
      </c>
      <c r="E66" s="25">
        <v>0.28999999999999998</v>
      </c>
      <c r="F66" s="1" t="str">
        <f t="shared" si="0"/>
        <v>Gliese 555 b</v>
      </c>
      <c r="G66" s="24" t="s">
        <v>14</v>
      </c>
      <c r="H66" s="24" t="s">
        <v>272</v>
      </c>
      <c r="I66" s="25" t="s">
        <v>78</v>
      </c>
      <c r="J66" s="25" t="s">
        <v>8</v>
      </c>
      <c r="K66" s="25"/>
      <c r="L66" s="25"/>
      <c r="M66" s="25">
        <v>0.72699999999999998</v>
      </c>
      <c r="N66" s="25">
        <v>450</v>
      </c>
      <c r="O66" s="25">
        <v>0.04</v>
      </c>
      <c r="P66" s="25" t="s">
        <v>8</v>
      </c>
      <c r="Q66" s="25">
        <v>2019</v>
      </c>
    </row>
    <row r="67" spans="1:17" x14ac:dyDescent="0.3">
      <c r="A67" s="24" t="s">
        <v>172</v>
      </c>
      <c r="B67" s="24" t="b">
        <v>1</v>
      </c>
      <c r="C67" s="25">
        <v>20.548999999999999</v>
      </c>
      <c r="D67" s="25">
        <v>10.5</v>
      </c>
      <c r="E67" s="25">
        <v>0.31</v>
      </c>
      <c r="F67" s="1" t="str">
        <f t="shared" ref="F67:F114" si="2">A67&amp; " " &amp;G67</f>
        <v>Gliese 581 e</v>
      </c>
      <c r="G67" s="24" t="s">
        <v>37</v>
      </c>
      <c r="H67" s="24" t="s">
        <v>272</v>
      </c>
      <c r="I67" s="25" t="s">
        <v>41</v>
      </c>
      <c r="J67" s="25" t="s">
        <v>8</v>
      </c>
      <c r="K67" s="25"/>
      <c r="L67" s="25"/>
      <c r="M67" s="25">
        <v>2.8199999999999999E-2</v>
      </c>
      <c r="N67" s="25">
        <v>3.15</v>
      </c>
      <c r="O67" s="25">
        <v>0</v>
      </c>
      <c r="P67" s="27" t="s">
        <v>79</v>
      </c>
      <c r="Q67" s="25">
        <v>2009</v>
      </c>
    </row>
    <row r="68" spans="1:17" x14ac:dyDescent="0.3">
      <c r="A68" s="24" t="s">
        <v>172</v>
      </c>
      <c r="B68" s="24" t="b">
        <v>1</v>
      </c>
      <c r="C68" s="25">
        <v>20.548999999999999</v>
      </c>
      <c r="D68" s="25">
        <v>10.5</v>
      </c>
      <c r="E68" s="25">
        <v>0.31</v>
      </c>
      <c r="F68" s="1" t="str">
        <f t="shared" si="2"/>
        <v>Gliese 581 b</v>
      </c>
      <c r="G68" s="24" t="s">
        <v>14</v>
      </c>
      <c r="H68" s="24" t="s">
        <v>272</v>
      </c>
      <c r="I68" s="25" t="s">
        <v>80</v>
      </c>
      <c r="J68" s="25" t="s">
        <v>8</v>
      </c>
      <c r="K68" s="25"/>
      <c r="L68" s="25"/>
      <c r="M68" s="25">
        <v>4.0599999999999997E-2</v>
      </c>
      <c r="N68" s="25">
        <v>5.37</v>
      </c>
      <c r="O68" s="25">
        <v>0</v>
      </c>
      <c r="P68" s="27" t="s">
        <v>79</v>
      </c>
      <c r="Q68" s="25">
        <v>2005</v>
      </c>
    </row>
    <row r="69" spans="1:17" x14ac:dyDescent="0.3">
      <c r="A69" s="24" t="s">
        <v>172</v>
      </c>
      <c r="B69" s="24" t="b">
        <v>1</v>
      </c>
      <c r="C69" s="25">
        <v>20.548999999999999</v>
      </c>
      <c r="D69" s="25">
        <v>10.5</v>
      </c>
      <c r="E69" s="25">
        <v>0.31</v>
      </c>
      <c r="F69" s="1" t="str">
        <f t="shared" si="2"/>
        <v>Gliese 581 c</v>
      </c>
      <c r="G69" s="24" t="s">
        <v>12</v>
      </c>
      <c r="H69" s="24" t="s">
        <v>272</v>
      </c>
      <c r="I69" s="25" t="s">
        <v>81</v>
      </c>
      <c r="J69" s="25" t="s">
        <v>8</v>
      </c>
      <c r="K69" s="25"/>
      <c r="L69" s="25"/>
      <c r="M69" s="25">
        <v>7.1999999999999995E-2</v>
      </c>
      <c r="N69" s="25">
        <v>12.9</v>
      </c>
      <c r="O69" s="25">
        <v>0</v>
      </c>
      <c r="P69" s="27" t="s">
        <v>79</v>
      </c>
      <c r="Q69" s="25">
        <v>2007</v>
      </c>
    </row>
    <row r="70" spans="1:17" x14ac:dyDescent="0.3">
      <c r="A70" s="24" t="s">
        <v>82</v>
      </c>
      <c r="B70" s="24"/>
      <c r="C70" s="25">
        <v>20.658000000000001</v>
      </c>
      <c r="D70" s="25">
        <v>7</v>
      </c>
      <c r="E70" s="25">
        <v>0.64</v>
      </c>
      <c r="F70" s="1" t="str">
        <f t="shared" si="2"/>
        <v>Gliese 338 B b</v>
      </c>
      <c r="G70" s="24" t="s">
        <v>14</v>
      </c>
      <c r="H70" s="24" t="s">
        <v>272</v>
      </c>
      <c r="I70" s="25" t="s">
        <v>64</v>
      </c>
      <c r="J70" s="25" t="s">
        <v>8</v>
      </c>
      <c r="K70" s="25"/>
      <c r="L70" s="25"/>
      <c r="M70" s="25">
        <v>0.14099999999999999</v>
      </c>
      <c r="N70" s="25">
        <v>24.5</v>
      </c>
      <c r="O70" s="25">
        <v>0.11</v>
      </c>
      <c r="P70" s="25" t="s">
        <v>8</v>
      </c>
      <c r="Q70" s="25">
        <v>2020</v>
      </c>
    </row>
    <row r="71" spans="1:17" x14ac:dyDescent="0.3">
      <c r="A71" s="24" t="s">
        <v>83</v>
      </c>
      <c r="B71" s="24"/>
      <c r="C71" s="25">
        <v>21.131</v>
      </c>
      <c r="D71" s="25">
        <v>10.199999999999999</v>
      </c>
      <c r="E71" s="25">
        <v>0.3</v>
      </c>
      <c r="F71" s="1" t="str">
        <f t="shared" si="2"/>
        <v>Gliese 625 b</v>
      </c>
      <c r="G71" s="24" t="s">
        <v>14</v>
      </c>
      <c r="H71" s="24" t="s">
        <v>272</v>
      </c>
      <c r="I71" s="25" t="s">
        <v>84</v>
      </c>
      <c r="J71" s="25" t="s">
        <v>8</v>
      </c>
      <c r="K71" s="25"/>
      <c r="L71" s="25"/>
      <c r="M71" s="25">
        <v>7.8399999999999997E-2</v>
      </c>
      <c r="N71" s="25">
        <v>14.6</v>
      </c>
      <c r="O71" s="25" t="s">
        <v>85</v>
      </c>
      <c r="P71" s="25" t="s">
        <v>8</v>
      </c>
      <c r="Q71" s="25">
        <v>2017</v>
      </c>
    </row>
    <row r="72" spans="1:17" ht="15" customHeight="1" x14ac:dyDescent="0.3">
      <c r="A72" s="24" t="s">
        <v>164</v>
      </c>
      <c r="B72" s="24" t="b">
        <v>1</v>
      </c>
      <c r="C72" s="25">
        <v>21.335999999999999</v>
      </c>
      <c r="D72" s="25">
        <v>5.57</v>
      </c>
      <c r="E72" s="25">
        <v>0.78</v>
      </c>
      <c r="F72" s="1" t="str">
        <f t="shared" si="2"/>
        <v>HD 219134 b</v>
      </c>
      <c r="G72" s="24" t="s">
        <v>14</v>
      </c>
      <c r="H72" s="24" t="s">
        <v>272</v>
      </c>
      <c r="I72" s="25">
        <v>4.7</v>
      </c>
      <c r="J72" s="25">
        <v>1.6</v>
      </c>
      <c r="K72" s="25"/>
      <c r="L72" s="25"/>
      <c r="M72" s="25">
        <v>3.8800000000000001E-2</v>
      </c>
      <c r="N72" s="25">
        <v>3.09</v>
      </c>
      <c r="O72" s="25" t="s">
        <v>73</v>
      </c>
      <c r="P72" s="25">
        <v>85.05</v>
      </c>
      <c r="Q72" s="25">
        <v>2015</v>
      </c>
    </row>
    <row r="73" spans="1:17" x14ac:dyDescent="0.3">
      <c r="A73" s="24" t="s">
        <v>164</v>
      </c>
      <c r="B73" s="24" t="b">
        <v>1</v>
      </c>
      <c r="C73" s="25">
        <v>21.335999999999999</v>
      </c>
      <c r="D73" s="25">
        <v>5.57</v>
      </c>
      <c r="E73" s="25">
        <v>0.78</v>
      </c>
      <c r="F73" s="1" t="str">
        <f t="shared" si="2"/>
        <v>HD 219134 c</v>
      </c>
      <c r="G73" s="24" t="s">
        <v>12</v>
      </c>
      <c r="H73" s="24" t="s">
        <v>272</v>
      </c>
      <c r="I73" s="25">
        <v>4.4000000000000004</v>
      </c>
      <c r="J73" s="25">
        <v>1.51</v>
      </c>
      <c r="K73" s="25"/>
      <c r="L73" s="25"/>
      <c r="M73" s="25">
        <v>6.5000000000000002E-2</v>
      </c>
      <c r="N73" s="25">
        <v>6.77</v>
      </c>
      <c r="O73" s="25">
        <v>6.2E-2</v>
      </c>
      <c r="P73" s="25">
        <v>87.28</v>
      </c>
      <c r="Q73" s="25">
        <v>2015</v>
      </c>
    </row>
    <row r="74" spans="1:17" x14ac:dyDescent="0.3">
      <c r="A74" s="24" t="s">
        <v>164</v>
      </c>
      <c r="B74" s="24" t="b">
        <v>1</v>
      </c>
      <c r="C74" s="25">
        <v>21.335999999999999</v>
      </c>
      <c r="D74" s="25">
        <v>5.57</v>
      </c>
      <c r="E74" s="25">
        <v>0.78</v>
      </c>
      <c r="F74" s="1" t="str">
        <f t="shared" si="2"/>
        <v>HD 219134 d</v>
      </c>
      <c r="G74" s="24" t="s">
        <v>9</v>
      </c>
      <c r="H74" s="24" t="s">
        <v>272</v>
      </c>
      <c r="I74" s="25" t="s">
        <v>80</v>
      </c>
      <c r="J74" s="25" t="s">
        <v>8</v>
      </c>
      <c r="K74" s="25"/>
      <c r="L74" s="25"/>
      <c r="M74" s="25">
        <v>0.23699999999999999</v>
      </c>
      <c r="N74" s="25">
        <v>46.9</v>
      </c>
      <c r="O74" s="25">
        <v>0.13800000000000001</v>
      </c>
      <c r="P74" s="27" t="s">
        <v>86</v>
      </c>
      <c r="Q74" s="25">
        <v>2015</v>
      </c>
    </row>
    <row r="75" spans="1:17" x14ac:dyDescent="0.3">
      <c r="A75" s="24" t="s">
        <v>164</v>
      </c>
      <c r="B75" s="24" t="b">
        <v>1</v>
      </c>
      <c r="C75" s="25">
        <v>21.335999999999999</v>
      </c>
      <c r="D75" s="25">
        <v>5.57</v>
      </c>
      <c r="E75" s="25">
        <v>0.78</v>
      </c>
      <c r="F75" s="1" t="str">
        <f t="shared" si="2"/>
        <v>HD 219134 f</v>
      </c>
      <c r="G75" s="24" t="s">
        <v>87</v>
      </c>
      <c r="H75" s="24" t="s">
        <v>272</v>
      </c>
      <c r="I75" s="25" t="s">
        <v>66</v>
      </c>
      <c r="J75" s="25" t="s">
        <v>8</v>
      </c>
      <c r="K75" s="25"/>
      <c r="L75" s="25"/>
      <c r="M75" s="25">
        <v>0.14599999999999999</v>
      </c>
      <c r="N75" s="25">
        <v>22.7</v>
      </c>
      <c r="O75" s="25">
        <v>0.14799999999999999</v>
      </c>
      <c r="P75" s="27" t="s">
        <v>86</v>
      </c>
      <c r="Q75" s="25">
        <v>2015</v>
      </c>
    </row>
    <row r="76" spans="1:17" x14ac:dyDescent="0.3">
      <c r="A76" s="24" t="s">
        <v>164</v>
      </c>
      <c r="B76" s="24" t="b">
        <v>1</v>
      </c>
      <c r="C76" s="25">
        <v>21.335999999999999</v>
      </c>
      <c r="D76" s="25">
        <v>5.57</v>
      </c>
      <c r="E76" s="25">
        <v>0.78</v>
      </c>
      <c r="F76" s="1" t="str">
        <f t="shared" si="2"/>
        <v>HD 219134 g</v>
      </c>
      <c r="G76" s="24" t="s">
        <v>32</v>
      </c>
      <c r="H76" s="24" t="s">
        <v>272</v>
      </c>
      <c r="I76" s="25" t="s">
        <v>88</v>
      </c>
      <c r="J76" s="25" t="s">
        <v>8</v>
      </c>
      <c r="K76" s="25"/>
      <c r="L76" s="25"/>
      <c r="M76" s="25">
        <v>0.375</v>
      </c>
      <c r="N76" s="25">
        <v>94.2</v>
      </c>
      <c r="O76" s="25">
        <v>0</v>
      </c>
      <c r="P76" s="27" t="s">
        <v>86</v>
      </c>
      <c r="Q76" s="25">
        <v>2015</v>
      </c>
    </row>
    <row r="77" spans="1:17" x14ac:dyDescent="0.3">
      <c r="A77" s="24" t="s">
        <v>164</v>
      </c>
      <c r="B77" s="24" t="b">
        <v>1</v>
      </c>
      <c r="C77" s="25">
        <v>21.335999999999999</v>
      </c>
      <c r="D77" s="25">
        <v>5.57</v>
      </c>
      <c r="E77" s="25">
        <v>0.78</v>
      </c>
      <c r="F77" s="1" t="str">
        <f t="shared" si="2"/>
        <v>HD 219134 h (e)</v>
      </c>
      <c r="G77" s="24" t="s">
        <v>89</v>
      </c>
      <c r="H77" s="24" t="s">
        <v>272</v>
      </c>
      <c r="I77" s="25" t="s">
        <v>90</v>
      </c>
      <c r="J77" s="25" t="s">
        <v>8</v>
      </c>
      <c r="K77" s="25"/>
      <c r="L77" s="25"/>
      <c r="M77" s="25">
        <v>3.11</v>
      </c>
      <c r="N77" s="26">
        <v>2247</v>
      </c>
      <c r="O77" s="25">
        <v>0.06</v>
      </c>
      <c r="P77" s="27" t="s">
        <v>86</v>
      </c>
      <c r="Q77" s="25">
        <v>2015</v>
      </c>
    </row>
    <row r="78" spans="1:17" ht="15" customHeight="1" x14ac:dyDescent="0.3">
      <c r="A78" s="24" t="s">
        <v>91</v>
      </c>
      <c r="B78" s="24"/>
      <c r="C78" s="25">
        <v>22.387</v>
      </c>
      <c r="D78" s="25">
        <v>10.53</v>
      </c>
      <c r="E78" s="25">
        <v>0.26</v>
      </c>
      <c r="F78" s="1" t="str">
        <f t="shared" si="2"/>
        <v>LTT 1445 A c</v>
      </c>
      <c r="G78" s="24" t="s">
        <v>12</v>
      </c>
      <c r="H78" s="24" t="s">
        <v>272</v>
      </c>
      <c r="I78" s="25">
        <v>1.54</v>
      </c>
      <c r="J78" s="25">
        <v>1.1499999999999999</v>
      </c>
      <c r="K78" s="25"/>
      <c r="L78" s="25"/>
      <c r="M78" s="25">
        <v>2.6599999999999999E-2</v>
      </c>
      <c r="N78" s="25">
        <v>3.12</v>
      </c>
      <c r="O78" s="25" t="s">
        <v>92</v>
      </c>
      <c r="P78" s="25">
        <v>87.43</v>
      </c>
      <c r="Q78" s="25">
        <v>2021</v>
      </c>
    </row>
    <row r="79" spans="1:17" x14ac:dyDescent="0.3">
      <c r="A79" s="24" t="s">
        <v>91</v>
      </c>
      <c r="B79" s="24"/>
      <c r="C79" s="25">
        <v>22.387</v>
      </c>
      <c r="D79" s="25">
        <v>10.53</v>
      </c>
      <c r="E79" s="25">
        <v>0.26</v>
      </c>
      <c r="F79" s="1" t="str">
        <f t="shared" si="2"/>
        <v>LTT 1445 A b</v>
      </c>
      <c r="G79" s="24" t="s">
        <v>14</v>
      </c>
      <c r="H79" s="24" t="s">
        <v>272</v>
      </c>
      <c r="I79" s="25">
        <v>2.87</v>
      </c>
      <c r="J79" s="25">
        <v>1.3</v>
      </c>
      <c r="K79" s="25"/>
      <c r="L79" s="25"/>
      <c r="M79" s="25">
        <v>3.8100000000000002E-2</v>
      </c>
      <c r="N79" s="25">
        <v>5.36</v>
      </c>
      <c r="O79" s="25" t="s">
        <v>93</v>
      </c>
      <c r="P79" s="25">
        <v>89.68</v>
      </c>
      <c r="Q79" s="25">
        <v>2019</v>
      </c>
    </row>
    <row r="80" spans="1:17" x14ac:dyDescent="0.3">
      <c r="A80" s="24" t="s">
        <v>94</v>
      </c>
      <c r="B80" s="24"/>
      <c r="C80" s="25">
        <v>22.396999999999998</v>
      </c>
      <c r="D80" s="25">
        <v>8.64</v>
      </c>
      <c r="E80" s="25">
        <v>0.59</v>
      </c>
      <c r="F80" s="1" t="str">
        <f t="shared" si="2"/>
        <v>Gliese 880 b</v>
      </c>
      <c r="G80" s="24" t="s">
        <v>14</v>
      </c>
      <c r="H80" s="24" t="s">
        <v>273</v>
      </c>
      <c r="I80" s="25" t="s">
        <v>67</v>
      </c>
      <c r="J80" s="25" t="s">
        <v>8</v>
      </c>
      <c r="K80" s="25"/>
      <c r="L80" s="25"/>
      <c r="M80" s="25">
        <v>0.187</v>
      </c>
      <c r="N80" s="25">
        <v>39.4</v>
      </c>
      <c r="O80" s="25">
        <v>0.13</v>
      </c>
      <c r="P80" s="25" t="s">
        <v>8</v>
      </c>
      <c r="Q80" s="25">
        <v>2019</v>
      </c>
    </row>
    <row r="81" spans="1:17" x14ac:dyDescent="0.3">
      <c r="A81" s="24" t="s">
        <v>95</v>
      </c>
      <c r="B81" s="24"/>
      <c r="C81" s="25">
        <v>22.952999999999999</v>
      </c>
      <c r="D81" s="25">
        <v>8.65</v>
      </c>
      <c r="E81" s="25">
        <v>0.41</v>
      </c>
      <c r="F81" s="1" t="str">
        <f t="shared" si="2"/>
        <v>Gliese 393 b</v>
      </c>
      <c r="G81" s="24" t="s">
        <v>14</v>
      </c>
      <c r="H81" s="24" t="s">
        <v>272</v>
      </c>
      <c r="I81" s="25" t="s">
        <v>96</v>
      </c>
      <c r="J81" s="25" t="s">
        <v>8</v>
      </c>
      <c r="K81" s="25"/>
      <c r="L81" s="25"/>
      <c r="M81" s="25">
        <v>5.3999999999999999E-2</v>
      </c>
      <c r="N81" s="25">
        <v>7.03</v>
      </c>
      <c r="O81" s="25">
        <v>0</v>
      </c>
      <c r="P81" s="25" t="s">
        <v>8</v>
      </c>
      <c r="Q81" s="25">
        <v>2019</v>
      </c>
    </row>
    <row r="82" spans="1:17" ht="21" customHeight="1" x14ac:dyDescent="0.3">
      <c r="A82" s="24" t="s">
        <v>97</v>
      </c>
      <c r="B82" s="24" t="b">
        <v>1</v>
      </c>
      <c r="C82" s="25">
        <v>23.623000000000001</v>
      </c>
      <c r="D82" s="25">
        <v>10.199999999999999</v>
      </c>
      <c r="E82" s="25">
        <v>0.33</v>
      </c>
      <c r="F82" s="1" t="str">
        <f t="shared" si="2"/>
        <v>Gliese 667 C# b</v>
      </c>
      <c r="G82" s="24" t="s">
        <v>14</v>
      </c>
      <c r="H82" s="24" t="s">
        <v>272</v>
      </c>
      <c r="I82" s="25" t="s">
        <v>98</v>
      </c>
      <c r="J82" s="25" t="s">
        <v>8</v>
      </c>
      <c r="K82" s="25"/>
      <c r="L82" s="25"/>
      <c r="M82" s="25">
        <v>4.9000000000000002E-2</v>
      </c>
      <c r="N82" s="25">
        <v>7.2</v>
      </c>
      <c r="O82" s="25">
        <v>0.13</v>
      </c>
      <c r="P82" s="27" t="s">
        <v>99</v>
      </c>
      <c r="Q82" s="25">
        <v>2009</v>
      </c>
    </row>
    <row r="83" spans="1:17" x14ac:dyDescent="0.3">
      <c r="A83" s="24" t="s">
        <v>97</v>
      </c>
      <c r="B83" s="24" t="b">
        <v>1</v>
      </c>
      <c r="C83" s="25">
        <v>23.623000000000001</v>
      </c>
      <c r="D83" s="25">
        <v>10.199999999999999</v>
      </c>
      <c r="E83" s="25">
        <v>0.33</v>
      </c>
      <c r="F83" s="1" t="str">
        <f t="shared" si="2"/>
        <v>Gliese 667 C# c</v>
      </c>
      <c r="G83" s="24" t="s">
        <v>12</v>
      </c>
      <c r="H83" s="24" t="s">
        <v>273</v>
      </c>
      <c r="I83" s="25" t="s">
        <v>38</v>
      </c>
      <c r="J83" s="27" t="s">
        <v>100</v>
      </c>
      <c r="K83" s="27"/>
      <c r="L83" s="27"/>
      <c r="M83" s="25">
        <v>0.12509999999999999</v>
      </c>
      <c r="N83" s="25">
        <v>28.2</v>
      </c>
      <c r="O83" s="25">
        <v>0.03</v>
      </c>
      <c r="P83" s="27" t="s">
        <v>99</v>
      </c>
      <c r="Q83" s="25">
        <v>2011</v>
      </c>
    </row>
    <row r="84" spans="1:17" x14ac:dyDescent="0.3">
      <c r="A84" s="24" t="s">
        <v>101</v>
      </c>
      <c r="B84" s="24"/>
      <c r="C84" s="25">
        <v>24.878</v>
      </c>
      <c r="D84" s="25">
        <v>9.0299999999999994</v>
      </c>
      <c r="E84" s="25">
        <v>0.53</v>
      </c>
      <c r="F84" s="1" t="str">
        <f t="shared" si="2"/>
        <v>Gliese 514 b</v>
      </c>
      <c r="G84" s="24" t="s">
        <v>14</v>
      </c>
      <c r="H84" s="24" t="s">
        <v>272</v>
      </c>
      <c r="I84" s="25" t="s">
        <v>102</v>
      </c>
      <c r="J84" s="25" t="s">
        <v>8</v>
      </c>
      <c r="K84" s="25"/>
      <c r="L84" s="25"/>
      <c r="M84" s="25">
        <v>0.42099999999999999</v>
      </c>
      <c r="N84" s="25">
        <v>140</v>
      </c>
      <c r="O84" s="25">
        <v>0.45</v>
      </c>
      <c r="P84" s="25" t="s">
        <v>8</v>
      </c>
      <c r="Q84" s="25">
        <v>2022</v>
      </c>
    </row>
    <row r="85" spans="1:17" x14ac:dyDescent="0.3">
      <c r="A85" s="24" t="s">
        <v>103</v>
      </c>
      <c r="B85" s="24"/>
      <c r="C85" s="25">
        <v>26.350999999999999</v>
      </c>
      <c r="D85" s="25">
        <v>11.395</v>
      </c>
      <c r="E85" s="25">
        <v>0.32</v>
      </c>
      <c r="F85" s="1" t="str">
        <f t="shared" si="2"/>
        <v>Gliese 486 b</v>
      </c>
      <c r="G85" s="24" t="s">
        <v>14</v>
      </c>
      <c r="H85" s="24" t="s">
        <v>272</v>
      </c>
      <c r="I85" s="25">
        <v>2.8</v>
      </c>
      <c r="J85" s="25">
        <v>1.31</v>
      </c>
      <c r="K85" s="25"/>
      <c r="L85" s="25"/>
      <c r="M85" s="25">
        <v>1.7299999999999999E-2</v>
      </c>
      <c r="N85" s="25">
        <v>1.47</v>
      </c>
      <c r="O85" s="25" t="s">
        <v>104</v>
      </c>
      <c r="P85" s="25">
        <v>88.4</v>
      </c>
      <c r="Q85" s="25">
        <v>2021</v>
      </c>
    </row>
    <row r="86" spans="1:17" x14ac:dyDescent="0.3">
      <c r="A86" s="24" t="s">
        <v>105</v>
      </c>
      <c r="B86" s="24"/>
      <c r="C86" s="25">
        <v>26.472999999999999</v>
      </c>
      <c r="D86" s="25">
        <v>12.13</v>
      </c>
      <c r="E86" s="25">
        <v>0.26</v>
      </c>
      <c r="F86" s="1" t="str">
        <f t="shared" si="2"/>
        <v>Gliese 300 b</v>
      </c>
      <c r="G86" s="24" t="s">
        <v>14</v>
      </c>
      <c r="H86" s="24" t="s">
        <v>273</v>
      </c>
      <c r="I86" s="25" t="s">
        <v>106</v>
      </c>
      <c r="J86" s="25" t="s">
        <v>8</v>
      </c>
      <c r="K86" s="25"/>
      <c r="L86" s="25"/>
      <c r="M86" s="25">
        <v>0.05</v>
      </c>
      <c r="N86" s="25">
        <v>8.33</v>
      </c>
      <c r="O86" s="25">
        <v>0.28999999999999998</v>
      </c>
      <c r="P86" s="25" t="s">
        <v>8</v>
      </c>
      <c r="Q86" s="25">
        <v>2019</v>
      </c>
    </row>
    <row r="87" spans="1:17" x14ac:dyDescent="0.3">
      <c r="A87" s="24" t="s">
        <v>107</v>
      </c>
      <c r="B87" s="24"/>
      <c r="C87" s="25">
        <v>26.613</v>
      </c>
      <c r="D87" s="25">
        <v>9.58</v>
      </c>
      <c r="E87" s="25">
        <v>0.42</v>
      </c>
      <c r="F87" s="1" t="str">
        <f t="shared" si="2"/>
        <v>Gliese 686 b</v>
      </c>
      <c r="G87" s="24" t="s">
        <v>14</v>
      </c>
      <c r="H87" s="24" t="s">
        <v>272</v>
      </c>
      <c r="I87" s="25" t="s">
        <v>108</v>
      </c>
      <c r="J87" s="25" t="s">
        <v>8</v>
      </c>
      <c r="K87" s="25"/>
      <c r="L87" s="25"/>
      <c r="M87" s="25">
        <v>9.7000000000000003E-2</v>
      </c>
      <c r="N87" s="25">
        <v>15.5</v>
      </c>
      <c r="O87" s="25">
        <v>0.04</v>
      </c>
      <c r="P87" s="25" t="s">
        <v>8</v>
      </c>
      <c r="Q87" s="25">
        <v>2019</v>
      </c>
    </row>
    <row r="88" spans="1:17" x14ac:dyDescent="0.3">
      <c r="A88" s="24" t="s">
        <v>109</v>
      </c>
      <c r="B88" s="24" t="b">
        <v>1</v>
      </c>
      <c r="C88" s="25">
        <v>27.835999999999999</v>
      </c>
      <c r="D88" s="25">
        <v>4.74</v>
      </c>
      <c r="E88" s="25">
        <v>0.95</v>
      </c>
      <c r="F88" s="1" t="str">
        <f t="shared" si="2"/>
        <v>61 Virginis# b</v>
      </c>
      <c r="G88" s="24" t="s">
        <v>14</v>
      </c>
      <c r="H88" s="24" t="s">
        <v>272</v>
      </c>
      <c r="I88" s="25" t="s">
        <v>110</v>
      </c>
      <c r="J88" s="25" t="s">
        <v>8</v>
      </c>
      <c r="K88" s="25"/>
      <c r="L88" s="25"/>
      <c r="M88" s="25">
        <v>5.0200000000000002E-2</v>
      </c>
      <c r="N88" s="25">
        <v>4.22</v>
      </c>
      <c r="O88" s="25" t="s">
        <v>85</v>
      </c>
      <c r="P88" s="27" t="s">
        <v>111</v>
      </c>
      <c r="Q88" s="25">
        <v>2009</v>
      </c>
    </row>
    <row r="89" spans="1:17" x14ac:dyDescent="0.3">
      <c r="A89" s="24" t="s">
        <v>109</v>
      </c>
      <c r="B89" s="24" t="b">
        <v>1</v>
      </c>
      <c r="C89" s="25">
        <v>27.835999999999999</v>
      </c>
      <c r="D89" s="25">
        <v>4.74</v>
      </c>
      <c r="E89" s="25">
        <v>0.95</v>
      </c>
      <c r="F89" s="1" t="str">
        <f t="shared" si="2"/>
        <v>61 Virginis# c</v>
      </c>
      <c r="G89" s="24" t="s">
        <v>12</v>
      </c>
      <c r="H89" s="24" t="s">
        <v>272</v>
      </c>
      <c r="I89" s="25" t="s">
        <v>112</v>
      </c>
      <c r="J89" s="25" t="s">
        <v>8</v>
      </c>
      <c r="K89" s="25"/>
      <c r="L89" s="25"/>
      <c r="M89" s="25">
        <v>0.218</v>
      </c>
      <c r="N89" s="25">
        <v>38</v>
      </c>
      <c r="O89" s="25">
        <v>0.14000000000000001</v>
      </c>
      <c r="P89" s="27" t="s">
        <v>111</v>
      </c>
      <c r="Q89" s="25">
        <v>2009</v>
      </c>
    </row>
    <row r="90" spans="1:17" x14ac:dyDescent="0.3">
      <c r="A90" s="24" t="s">
        <v>113</v>
      </c>
      <c r="B90" s="24"/>
      <c r="C90" s="25">
        <v>28.052</v>
      </c>
      <c r="D90" s="25">
        <v>14.000999999999999</v>
      </c>
      <c r="E90" s="25">
        <v>0.161</v>
      </c>
      <c r="F90" s="1" t="str">
        <f t="shared" si="2"/>
        <v>CD Ceti b</v>
      </c>
      <c r="G90" s="24" t="s">
        <v>14</v>
      </c>
      <c r="H90" s="24" t="s">
        <v>272</v>
      </c>
      <c r="I90" s="25" t="s">
        <v>114</v>
      </c>
      <c r="J90" s="25" t="s">
        <v>8</v>
      </c>
      <c r="K90" s="25"/>
      <c r="L90" s="25"/>
      <c r="M90" s="25">
        <v>1.8499999999999999E-2</v>
      </c>
      <c r="N90" s="25">
        <v>2.29</v>
      </c>
      <c r="O90" s="25">
        <v>0</v>
      </c>
      <c r="P90" s="25" t="s">
        <v>8</v>
      </c>
      <c r="Q90" s="25">
        <v>2020</v>
      </c>
    </row>
    <row r="91" spans="1:17" ht="15" customHeight="1" x14ac:dyDescent="0.3">
      <c r="A91" s="24" t="s">
        <v>115</v>
      </c>
      <c r="B91" s="24" t="b">
        <v>1</v>
      </c>
      <c r="C91" s="25">
        <v>28.739000000000001</v>
      </c>
      <c r="D91" s="25">
        <v>6.13</v>
      </c>
      <c r="E91" s="25">
        <v>0.78</v>
      </c>
      <c r="F91" s="1" t="str">
        <f t="shared" si="2"/>
        <v>Gliese 785# b</v>
      </c>
      <c r="G91" s="24" t="s">
        <v>14</v>
      </c>
      <c r="H91" s="24" t="s">
        <v>272</v>
      </c>
      <c r="I91" s="25" t="s">
        <v>116</v>
      </c>
      <c r="J91" s="25" t="s">
        <v>8</v>
      </c>
      <c r="K91" s="25"/>
      <c r="L91" s="25"/>
      <c r="M91" s="25">
        <v>0.32</v>
      </c>
      <c r="N91" s="25">
        <v>75</v>
      </c>
      <c r="O91" s="25">
        <v>0.13</v>
      </c>
      <c r="P91" s="25" t="s">
        <v>8</v>
      </c>
      <c r="Q91" s="25">
        <v>2010</v>
      </c>
    </row>
    <row r="92" spans="1:17" x14ac:dyDescent="0.3">
      <c r="A92" s="24" t="s">
        <v>115</v>
      </c>
      <c r="B92" s="24" t="b">
        <v>1</v>
      </c>
      <c r="C92" s="25">
        <v>28.739000000000001</v>
      </c>
      <c r="D92" s="25">
        <v>6.13</v>
      </c>
      <c r="E92" s="25">
        <v>0.78</v>
      </c>
      <c r="F92" s="1" t="str">
        <f t="shared" si="2"/>
        <v>Gliese 785# c</v>
      </c>
      <c r="G92" s="24" t="s">
        <v>12</v>
      </c>
      <c r="H92" s="24" t="s">
        <v>272</v>
      </c>
      <c r="I92" s="25" t="s">
        <v>117</v>
      </c>
      <c r="J92" s="25" t="s">
        <v>8</v>
      </c>
      <c r="K92" s="25"/>
      <c r="L92" s="25"/>
      <c r="M92" s="25">
        <v>1.18</v>
      </c>
      <c r="N92" s="25">
        <v>530</v>
      </c>
      <c r="O92" s="25" t="s">
        <v>118</v>
      </c>
      <c r="P92" s="25" t="s">
        <v>8</v>
      </c>
      <c r="Q92" s="25">
        <v>2011</v>
      </c>
    </row>
    <row r="93" spans="1:17" ht="15" customHeight="1" x14ac:dyDescent="0.3">
      <c r="A93" s="24" t="s">
        <v>119</v>
      </c>
      <c r="B93" s="24" t="b">
        <v>1</v>
      </c>
      <c r="C93" s="25">
        <v>28.75</v>
      </c>
      <c r="D93" s="25">
        <v>10.4</v>
      </c>
      <c r="E93" s="25">
        <v>0.49</v>
      </c>
      <c r="F93" s="1" t="str">
        <f t="shared" si="2"/>
        <v>Gliese 849# b</v>
      </c>
      <c r="G93" s="24" t="s">
        <v>14</v>
      </c>
      <c r="H93" s="24" t="s">
        <v>272</v>
      </c>
      <c r="I93" s="25" t="s">
        <v>120</v>
      </c>
      <c r="J93" s="25" t="s">
        <v>8</v>
      </c>
      <c r="K93" s="25"/>
      <c r="L93" s="25"/>
      <c r="M93" s="25">
        <v>2.2599999999999998</v>
      </c>
      <c r="N93" s="26">
        <v>1910</v>
      </c>
      <c r="O93" s="25">
        <v>0.05</v>
      </c>
      <c r="P93" s="25" t="s">
        <v>8</v>
      </c>
      <c r="Q93" s="25">
        <v>2006</v>
      </c>
    </row>
    <row r="94" spans="1:17" x14ac:dyDescent="0.3">
      <c r="A94" s="24" t="s">
        <v>119</v>
      </c>
      <c r="B94" s="24" t="b">
        <v>1</v>
      </c>
      <c r="C94" s="25">
        <v>28.75</v>
      </c>
      <c r="D94" s="25">
        <v>10.4</v>
      </c>
      <c r="E94" s="25">
        <v>0.49</v>
      </c>
      <c r="F94" s="1" t="str">
        <f t="shared" si="2"/>
        <v>Gliese 849# c</v>
      </c>
      <c r="G94" s="24" t="s">
        <v>12</v>
      </c>
      <c r="H94" s="24" t="s">
        <v>272</v>
      </c>
      <c r="I94" s="25" t="s">
        <v>121</v>
      </c>
      <c r="J94" s="25" t="s">
        <v>8</v>
      </c>
      <c r="K94" s="25"/>
      <c r="L94" s="25"/>
      <c r="M94" s="25">
        <v>4.82</v>
      </c>
      <c r="N94" s="26">
        <v>5520</v>
      </c>
      <c r="O94" s="25">
        <v>8.6999999999999994E-2</v>
      </c>
      <c r="P94" s="25" t="s">
        <v>8</v>
      </c>
      <c r="Q94" s="25">
        <v>2006</v>
      </c>
    </row>
    <row r="95" spans="1:17" ht="15" customHeight="1" x14ac:dyDescent="0.3">
      <c r="A95" s="24" t="s">
        <v>122</v>
      </c>
      <c r="B95" s="24" t="b">
        <v>1</v>
      </c>
      <c r="C95" s="25">
        <v>29.605</v>
      </c>
      <c r="D95" s="25">
        <v>9.7899999999999991</v>
      </c>
      <c r="E95" s="25">
        <v>0.48</v>
      </c>
      <c r="F95" s="1" t="str">
        <f t="shared" si="2"/>
        <v>Gliese 433# b</v>
      </c>
      <c r="G95" s="24" t="s">
        <v>14</v>
      </c>
      <c r="H95" s="24" t="s">
        <v>272</v>
      </c>
      <c r="I95" s="25" t="s">
        <v>123</v>
      </c>
      <c r="J95" s="25" t="s">
        <v>8</v>
      </c>
      <c r="K95" s="25"/>
      <c r="L95" s="25"/>
      <c r="M95" s="25">
        <v>6.2E-2</v>
      </c>
      <c r="N95" s="25">
        <v>7.37</v>
      </c>
      <c r="O95" s="25">
        <v>0.04</v>
      </c>
      <c r="P95" s="25" t="s">
        <v>8</v>
      </c>
      <c r="Q95" s="25">
        <v>2009</v>
      </c>
    </row>
    <row r="96" spans="1:17" x14ac:dyDescent="0.3">
      <c r="A96" s="24" t="s">
        <v>122</v>
      </c>
      <c r="B96" s="24" t="b">
        <v>1</v>
      </c>
      <c r="C96" s="25">
        <v>29.605</v>
      </c>
      <c r="D96" s="25">
        <v>9.7899999999999991</v>
      </c>
      <c r="E96" s="25">
        <v>0.48</v>
      </c>
      <c r="F96" s="1" t="str">
        <f t="shared" si="2"/>
        <v>Gliese 433# d</v>
      </c>
      <c r="G96" s="24" t="s">
        <v>9</v>
      </c>
      <c r="H96" s="24" t="s">
        <v>272</v>
      </c>
      <c r="I96" s="25" t="s">
        <v>102</v>
      </c>
      <c r="J96" s="25" t="s">
        <v>8</v>
      </c>
      <c r="K96" s="25"/>
      <c r="L96" s="25"/>
      <c r="M96" s="25">
        <v>0.17799999999999999</v>
      </c>
      <c r="N96" s="25">
        <v>36.1</v>
      </c>
      <c r="O96" s="25">
        <v>7.0000000000000007E-2</v>
      </c>
      <c r="P96" s="25" t="s">
        <v>8</v>
      </c>
      <c r="Q96" s="25">
        <v>2020</v>
      </c>
    </row>
    <row r="97" spans="1:17" x14ac:dyDescent="0.3">
      <c r="A97" s="24" t="s">
        <v>122</v>
      </c>
      <c r="B97" s="24" t="b">
        <v>1</v>
      </c>
      <c r="C97" s="25">
        <v>29.605</v>
      </c>
      <c r="D97" s="25">
        <v>9.7899999999999991</v>
      </c>
      <c r="E97" s="25">
        <v>0.48</v>
      </c>
      <c r="F97" s="1" t="str">
        <f t="shared" si="2"/>
        <v>Gliese 433# c</v>
      </c>
      <c r="G97" s="24" t="s">
        <v>12</v>
      </c>
      <c r="H97" s="24" t="s">
        <v>272</v>
      </c>
      <c r="I97" s="25" t="s">
        <v>124</v>
      </c>
      <c r="J97" s="25" t="s">
        <v>8</v>
      </c>
      <c r="K97" s="25"/>
      <c r="L97" s="25"/>
      <c r="M97" s="25">
        <v>4.82</v>
      </c>
      <c r="N97" s="26">
        <v>5090</v>
      </c>
      <c r="O97" s="25">
        <v>0.12</v>
      </c>
      <c r="P97" s="25" t="s">
        <v>8</v>
      </c>
      <c r="Q97" s="25">
        <v>2012</v>
      </c>
    </row>
    <row r="98" spans="1:17" x14ac:dyDescent="0.3">
      <c r="A98" s="24" t="s">
        <v>125</v>
      </c>
      <c r="B98" s="24"/>
      <c r="C98" s="25">
        <v>30.123000000000001</v>
      </c>
      <c r="D98" s="25">
        <v>11.73</v>
      </c>
      <c r="E98" s="25">
        <v>0.27</v>
      </c>
      <c r="F98" s="1" t="str">
        <f t="shared" si="2"/>
        <v>Gliese 3325 b</v>
      </c>
      <c r="G98" s="24" t="s">
        <v>14</v>
      </c>
      <c r="H98" s="24" t="s">
        <v>272</v>
      </c>
      <c r="I98" s="25" t="s">
        <v>126</v>
      </c>
      <c r="J98" s="25" t="s">
        <v>8</v>
      </c>
      <c r="K98" s="25"/>
      <c r="L98" s="25"/>
      <c r="M98" s="25">
        <v>7.0999999999999994E-2</v>
      </c>
      <c r="N98" s="25">
        <v>12.9</v>
      </c>
      <c r="O98" s="25">
        <v>0.03</v>
      </c>
      <c r="P98" s="25" t="s">
        <v>8</v>
      </c>
      <c r="Q98" s="25">
        <v>2019</v>
      </c>
    </row>
    <row r="99" spans="1:17" x14ac:dyDescent="0.3">
      <c r="A99" s="24" t="s">
        <v>127</v>
      </c>
      <c r="B99" s="24"/>
      <c r="C99" s="25">
        <v>30.396000000000001</v>
      </c>
      <c r="D99" s="25">
        <v>4.8899999999999997</v>
      </c>
      <c r="E99" s="25">
        <v>0.85</v>
      </c>
      <c r="F99" s="1" t="str">
        <f t="shared" si="2"/>
        <v>HD 102365 A b</v>
      </c>
      <c r="G99" s="24" t="s">
        <v>14</v>
      </c>
      <c r="H99" s="24" t="s">
        <v>272</v>
      </c>
      <c r="I99" s="25" t="s">
        <v>80</v>
      </c>
      <c r="J99" s="25" t="s">
        <v>8</v>
      </c>
      <c r="K99" s="25"/>
      <c r="L99" s="25"/>
      <c r="M99" s="25">
        <v>0.46</v>
      </c>
      <c r="N99" s="25">
        <v>122</v>
      </c>
      <c r="O99" s="25">
        <v>0.34</v>
      </c>
      <c r="P99" s="25" t="s">
        <v>8</v>
      </c>
      <c r="Q99" s="25">
        <v>2010</v>
      </c>
    </row>
    <row r="100" spans="1:17" x14ac:dyDescent="0.3">
      <c r="A100" s="24" t="s">
        <v>128</v>
      </c>
      <c r="B100" s="24"/>
      <c r="C100" s="25">
        <v>30.719000000000001</v>
      </c>
      <c r="D100" s="25">
        <v>9.98</v>
      </c>
      <c r="E100" s="25">
        <v>0.45</v>
      </c>
      <c r="F100" s="1" t="str">
        <f t="shared" si="2"/>
        <v>Gliese 367 b</v>
      </c>
      <c r="G100" s="24" t="s">
        <v>14</v>
      </c>
      <c r="H100" s="24" t="s">
        <v>272</v>
      </c>
      <c r="I100" s="25">
        <v>0.55000000000000004</v>
      </c>
      <c r="J100" s="25">
        <v>0.72</v>
      </c>
      <c r="K100" s="25"/>
      <c r="L100" s="25"/>
      <c r="M100" s="25">
        <v>7.1000000000000004E-3</v>
      </c>
      <c r="N100" s="25">
        <v>0.32</v>
      </c>
      <c r="O100" s="25">
        <v>0</v>
      </c>
      <c r="P100" s="25">
        <v>80.75</v>
      </c>
      <c r="Q100" s="25">
        <v>2021</v>
      </c>
    </row>
    <row r="101" spans="1:17" ht="15" customHeight="1" x14ac:dyDescent="0.3">
      <c r="A101" s="24" t="s">
        <v>129</v>
      </c>
      <c r="B101" s="24" t="b">
        <v>1</v>
      </c>
      <c r="C101" s="25">
        <v>30.776</v>
      </c>
      <c r="D101" s="25">
        <v>10.9</v>
      </c>
      <c r="E101" s="25">
        <v>0.34</v>
      </c>
      <c r="F101" s="1" t="str">
        <f t="shared" si="2"/>
        <v>Gliese 357# b</v>
      </c>
      <c r="G101" s="24" t="s">
        <v>14</v>
      </c>
      <c r="H101" s="24" t="s">
        <v>272</v>
      </c>
      <c r="I101" s="25">
        <v>6.1</v>
      </c>
      <c r="J101" s="25">
        <v>1.17</v>
      </c>
      <c r="K101" s="25"/>
      <c r="L101" s="25"/>
      <c r="M101" s="25">
        <v>3.5000000000000003E-2</v>
      </c>
      <c r="N101" s="25">
        <v>3.93</v>
      </c>
      <c r="O101" s="25">
        <v>0.02</v>
      </c>
      <c r="P101" s="25">
        <v>88.92</v>
      </c>
      <c r="Q101" s="25">
        <v>2019</v>
      </c>
    </row>
    <row r="102" spans="1:17" x14ac:dyDescent="0.3">
      <c r="A102" s="24" t="s">
        <v>129</v>
      </c>
      <c r="B102" s="24" t="b">
        <v>1</v>
      </c>
      <c r="C102" s="25">
        <v>30.776</v>
      </c>
      <c r="D102" s="25">
        <v>10.9</v>
      </c>
      <c r="E102" s="25">
        <v>0.34</v>
      </c>
      <c r="F102" s="1" t="str">
        <f t="shared" si="2"/>
        <v>Gliese 357# c</v>
      </c>
      <c r="G102" s="24" t="s">
        <v>12</v>
      </c>
      <c r="H102" s="24" t="s">
        <v>272</v>
      </c>
      <c r="I102" s="25" t="s">
        <v>51</v>
      </c>
      <c r="J102" s="25" t="s">
        <v>8</v>
      </c>
      <c r="K102" s="25"/>
      <c r="L102" s="25"/>
      <c r="M102" s="25">
        <v>6.0999999999999999E-2</v>
      </c>
      <c r="N102" s="25">
        <v>9.1300000000000008</v>
      </c>
      <c r="O102" s="25">
        <v>0.04</v>
      </c>
      <c r="P102" s="25" t="s">
        <v>130</v>
      </c>
      <c r="Q102" s="25">
        <v>2019</v>
      </c>
    </row>
    <row r="103" spans="1:17" x14ac:dyDescent="0.3">
      <c r="A103" s="24" t="s">
        <v>129</v>
      </c>
      <c r="B103" s="24" t="b">
        <v>1</v>
      </c>
      <c r="C103" s="25">
        <v>30.776</v>
      </c>
      <c r="D103" s="25">
        <v>10.9</v>
      </c>
      <c r="E103" s="25">
        <v>0.34</v>
      </c>
      <c r="F103" s="1" t="str">
        <f t="shared" si="2"/>
        <v>Gliese 357# d</v>
      </c>
      <c r="G103" s="24" t="s">
        <v>9</v>
      </c>
      <c r="H103" s="24" t="s">
        <v>273</v>
      </c>
      <c r="I103" s="25" t="s">
        <v>131</v>
      </c>
      <c r="J103" s="25" t="s">
        <v>8</v>
      </c>
      <c r="K103" s="25"/>
      <c r="L103" s="25"/>
      <c r="M103" s="25">
        <v>0.20399999999999999</v>
      </c>
      <c r="N103" s="25">
        <v>55.7</v>
      </c>
      <c r="O103" s="25">
        <v>0.03</v>
      </c>
      <c r="P103" s="25" t="s">
        <v>130</v>
      </c>
      <c r="Q103" s="25">
        <v>2019</v>
      </c>
    </row>
    <row r="104" spans="1:17" ht="15" customHeight="1" x14ac:dyDescent="0.3">
      <c r="A104" s="24" t="s">
        <v>132</v>
      </c>
      <c r="B104" s="24" t="b">
        <v>1</v>
      </c>
      <c r="C104" s="25">
        <v>30.937000000000001</v>
      </c>
      <c r="D104" s="25">
        <v>10.1</v>
      </c>
      <c r="E104" s="25">
        <v>0.45</v>
      </c>
      <c r="F104" s="1" t="str">
        <f t="shared" si="2"/>
        <v>Gliese 176# b</v>
      </c>
      <c r="G104" s="24" t="s">
        <v>14</v>
      </c>
      <c r="H104" s="24" t="s">
        <v>272</v>
      </c>
      <c r="I104" s="25" t="s">
        <v>133</v>
      </c>
      <c r="J104" s="25" t="s">
        <v>8</v>
      </c>
      <c r="K104" s="25"/>
      <c r="L104" s="25"/>
      <c r="M104" s="25">
        <v>6.6000000000000003E-2</v>
      </c>
      <c r="N104" s="25">
        <v>8.77</v>
      </c>
      <c r="O104" s="25">
        <v>0.08</v>
      </c>
      <c r="P104" s="25" t="s">
        <v>8</v>
      </c>
      <c r="Q104" s="25">
        <v>2007</v>
      </c>
    </row>
    <row r="105" spans="1:17" x14ac:dyDescent="0.3">
      <c r="A105" s="24" t="s">
        <v>132</v>
      </c>
      <c r="B105" s="24" t="b">
        <v>1</v>
      </c>
      <c r="C105" s="25">
        <v>30.937000000000001</v>
      </c>
      <c r="D105" s="25">
        <v>10.1</v>
      </c>
      <c r="E105" s="25">
        <v>0.45</v>
      </c>
      <c r="F105" s="1" t="str">
        <f t="shared" si="2"/>
        <v>Gliese 176# c</v>
      </c>
      <c r="G105" s="24" t="s">
        <v>12</v>
      </c>
      <c r="H105" s="24" t="s">
        <v>273</v>
      </c>
      <c r="I105" s="25" t="s">
        <v>134</v>
      </c>
      <c r="J105" s="25" t="s">
        <v>8</v>
      </c>
      <c r="K105" s="25"/>
      <c r="L105" s="25"/>
      <c r="M105" s="25">
        <v>0.14599999999999999</v>
      </c>
      <c r="N105" s="25">
        <v>28.6</v>
      </c>
      <c r="O105" s="25">
        <v>0.02</v>
      </c>
      <c r="P105" s="25" t="s">
        <v>8</v>
      </c>
      <c r="Q105" s="25">
        <v>2019</v>
      </c>
    </row>
    <row r="106" spans="1:17" x14ac:dyDescent="0.3">
      <c r="A106" s="24" t="s">
        <v>135</v>
      </c>
      <c r="B106" s="24"/>
      <c r="C106" s="25">
        <v>30.96</v>
      </c>
      <c r="D106" s="25">
        <v>10.66</v>
      </c>
      <c r="E106" s="25">
        <v>0.43</v>
      </c>
      <c r="F106" s="1" t="str">
        <f t="shared" si="2"/>
        <v>Gliese 479 b</v>
      </c>
      <c r="G106" s="24" t="s">
        <v>14</v>
      </c>
      <c r="H106" s="24" t="s">
        <v>272</v>
      </c>
      <c r="I106" s="25" t="s">
        <v>110</v>
      </c>
      <c r="J106" s="25" t="s">
        <v>8</v>
      </c>
      <c r="K106" s="25"/>
      <c r="L106" s="25"/>
      <c r="M106" s="25">
        <v>7.3999999999999996E-2</v>
      </c>
      <c r="N106" s="25">
        <v>11.3</v>
      </c>
      <c r="O106" s="25">
        <v>0.03</v>
      </c>
      <c r="P106" s="25" t="s">
        <v>8</v>
      </c>
      <c r="Q106" s="25">
        <v>2019</v>
      </c>
    </row>
    <row r="107" spans="1:17" ht="15" customHeight="1" x14ac:dyDescent="0.3">
      <c r="A107" s="24" t="s">
        <v>136</v>
      </c>
      <c r="B107" s="24" t="b">
        <v>1</v>
      </c>
      <c r="C107" s="25">
        <v>30.975999999999999</v>
      </c>
      <c r="D107" s="25">
        <v>13.11</v>
      </c>
      <c r="E107" s="25">
        <v>0.123</v>
      </c>
      <c r="F107" s="1" t="str">
        <f t="shared" si="2"/>
        <v>Gliese 3512# b</v>
      </c>
      <c r="G107" s="24" t="s">
        <v>14</v>
      </c>
      <c r="H107" s="24" t="s">
        <v>272</v>
      </c>
      <c r="I107" s="25" t="s">
        <v>137</v>
      </c>
      <c r="J107" s="25" t="s">
        <v>8</v>
      </c>
      <c r="K107" s="25"/>
      <c r="L107" s="25"/>
      <c r="M107" s="25">
        <v>0.33800000000000002</v>
      </c>
      <c r="N107" s="25">
        <v>204</v>
      </c>
      <c r="O107" s="25">
        <v>0.44</v>
      </c>
      <c r="P107" s="25" t="s">
        <v>8</v>
      </c>
      <c r="Q107" s="25">
        <v>2019</v>
      </c>
    </row>
    <row r="108" spans="1:17" x14ac:dyDescent="0.3">
      <c r="A108" s="24" t="s">
        <v>136</v>
      </c>
      <c r="B108" s="24" t="b">
        <v>1</v>
      </c>
      <c r="C108" s="25">
        <v>30.975999999999999</v>
      </c>
      <c r="D108" s="25">
        <v>13.11</v>
      </c>
      <c r="E108" s="25">
        <v>0.123</v>
      </c>
      <c r="F108" s="1" t="str">
        <f t="shared" si="2"/>
        <v>Gliese 3512# c</v>
      </c>
      <c r="G108" s="24" t="s">
        <v>12</v>
      </c>
      <c r="H108" s="24" t="s">
        <v>272</v>
      </c>
      <c r="I108" s="25" t="s">
        <v>138</v>
      </c>
      <c r="J108" s="25" t="s">
        <v>8</v>
      </c>
      <c r="K108" s="25"/>
      <c r="L108" s="25"/>
      <c r="M108" s="25" t="s">
        <v>11</v>
      </c>
      <c r="N108" s="25" t="s">
        <v>139</v>
      </c>
      <c r="O108" s="25" t="s">
        <v>8</v>
      </c>
      <c r="P108" s="25" t="s">
        <v>8</v>
      </c>
      <c r="Q108" s="25">
        <v>2019</v>
      </c>
    </row>
    <row r="109" spans="1:17" x14ac:dyDescent="0.3">
      <c r="A109" s="24" t="s">
        <v>140</v>
      </c>
      <c r="B109" s="24" t="b">
        <v>1</v>
      </c>
      <c r="C109" s="25">
        <v>31.683</v>
      </c>
      <c r="D109" s="25">
        <v>8.6300000000000008</v>
      </c>
      <c r="E109" s="25">
        <v>0.5</v>
      </c>
      <c r="F109" s="1" t="str">
        <f t="shared" si="2"/>
        <v>AU Microscopii# b</v>
      </c>
      <c r="G109" s="24" t="s">
        <v>14</v>
      </c>
      <c r="H109" s="24" t="s">
        <v>272</v>
      </c>
      <c r="I109" s="25">
        <v>17</v>
      </c>
      <c r="J109" s="25">
        <v>4.38</v>
      </c>
      <c r="K109" s="25"/>
      <c r="L109" s="25"/>
      <c r="M109" s="25">
        <v>6.4500000000000002E-2</v>
      </c>
      <c r="N109" s="25">
        <v>8.4629999999999992</v>
      </c>
      <c r="O109" s="25">
        <v>0.1</v>
      </c>
      <c r="P109" s="25">
        <v>89.03</v>
      </c>
      <c r="Q109" s="25">
        <v>2020</v>
      </c>
    </row>
    <row r="110" spans="1:17" x14ac:dyDescent="0.3">
      <c r="A110" s="24" t="s">
        <v>140</v>
      </c>
      <c r="B110" s="24" t="b">
        <v>1</v>
      </c>
      <c r="C110" s="25">
        <v>31.683</v>
      </c>
      <c r="D110" s="25">
        <v>8.6300000000000008</v>
      </c>
      <c r="E110" s="25">
        <v>0.5</v>
      </c>
      <c r="F110" s="1" t="str">
        <f t="shared" si="2"/>
        <v>AU Microscopii# c</v>
      </c>
      <c r="G110" s="24" t="s">
        <v>12</v>
      </c>
      <c r="H110" s="24" t="s">
        <v>272</v>
      </c>
      <c r="I110" s="25" t="s">
        <v>141</v>
      </c>
      <c r="J110" s="25">
        <v>3.51</v>
      </c>
      <c r="K110" s="25"/>
      <c r="L110" s="25"/>
      <c r="M110" s="25">
        <v>0.1101</v>
      </c>
      <c r="N110" s="25">
        <v>18.86</v>
      </c>
      <c r="O110" s="25">
        <v>0</v>
      </c>
      <c r="P110" s="25">
        <v>88.62</v>
      </c>
      <c r="Q110" s="25">
        <v>2020</v>
      </c>
    </row>
    <row r="111" spans="1:17" x14ac:dyDescent="0.3">
      <c r="A111" s="24" t="s">
        <v>142</v>
      </c>
      <c r="B111" s="24"/>
      <c r="C111" s="25">
        <v>31.882000000000001</v>
      </c>
      <c r="D111" s="25">
        <v>10.67</v>
      </c>
      <c r="E111" s="25">
        <v>0.41</v>
      </c>
      <c r="F111" s="1" t="str">
        <f t="shared" si="2"/>
        <v>Gliese 436 b</v>
      </c>
      <c r="G111" s="24" t="s">
        <v>14</v>
      </c>
      <c r="H111" s="24" t="s">
        <v>272</v>
      </c>
      <c r="I111" s="25">
        <v>21.4</v>
      </c>
      <c r="J111" s="25">
        <v>4.33</v>
      </c>
      <c r="K111" s="25"/>
      <c r="L111" s="25"/>
      <c r="M111" s="25">
        <v>2.8000000000000001E-2</v>
      </c>
      <c r="N111" s="25">
        <v>2.64</v>
      </c>
      <c r="O111" s="25">
        <v>0.15</v>
      </c>
      <c r="P111" s="25">
        <v>85.8</v>
      </c>
      <c r="Q111" s="25">
        <v>2004</v>
      </c>
    </row>
    <row r="112" spans="1:17" x14ac:dyDescent="0.3">
      <c r="A112" s="24" t="s">
        <v>143</v>
      </c>
      <c r="B112" s="24"/>
      <c r="C112" s="25">
        <v>32.158000000000001</v>
      </c>
      <c r="D112" s="25">
        <v>8.9</v>
      </c>
      <c r="E112" s="25">
        <v>0.56999999999999995</v>
      </c>
      <c r="F112" s="1" t="str">
        <f t="shared" si="2"/>
        <v>Gliese 49 b</v>
      </c>
      <c r="G112" s="24" t="s">
        <v>14</v>
      </c>
      <c r="H112" s="24" t="s">
        <v>272</v>
      </c>
      <c r="I112" s="25" t="s">
        <v>144</v>
      </c>
      <c r="J112" s="25" t="s">
        <v>8</v>
      </c>
      <c r="K112" s="25"/>
      <c r="L112" s="25"/>
      <c r="M112" s="25">
        <v>0.106</v>
      </c>
      <c r="N112" s="25">
        <v>17.3</v>
      </c>
      <c r="O112" s="25">
        <v>0.03</v>
      </c>
      <c r="P112" s="25" t="s">
        <v>8</v>
      </c>
      <c r="Q112" s="25">
        <v>2019</v>
      </c>
    </row>
    <row r="113" spans="1:17" ht="15" customHeight="1" x14ac:dyDescent="0.3">
      <c r="A113" s="24" t="s">
        <v>145</v>
      </c>
      <c r="B113" s="24" t="b">
        <v>1</v>
      </c>
      <c r="C113" s="25">
        <v>32.607999999999997</v>
      </c>
      <c r="D113" s="25">
        <v>9.77</v>
      </c>
      <c r="E113" s="25">
        <v>0.439</v>
      </c>
      <c r="F113" s="1" t="str">
        <f t="shared" si="2"/>
        <v>HD 260655# b</v>
      </c>
      <c r="G113" s="24" t="s">
        <v>14</v>
      </c>
      <c r="H113" s="24" t="s">
        <v>272</v>
      </c>
      <c r="I113" s="25">
        <v>2.14</v>
      </c>
      <c r="J113" s="25">
        <v>1.24</v>
      </c>
      <c r="K113" s="25"/>
      <c r="L113" s="25"/>
      <c r="M113" s="25">
        <v>2.93E-2</v>
      </c>
      <c r="N113" s="25">
        <v>2.78</v>
      </c>
      <c r="O113" s="25">
        <v>3.9E-2</v>
      </c>
      <c r="P113" s="25">
        <v>87.35</v>
      </c>
      <c r="Q113" s="25">
        <v>2022</v>
      </c>
    </row>
    <row r="114" spans="1:17" x14ac:dyDescent="0.3">
      <c r="A114" s="24" t="s">
        <v>145</v>
      </c>
      <c r="B114" s="24" t="b">
        <v>1</v>
      </c>
      <c r="C114" s="25">
        <v>32.607999999999997</v>
      </c>
      <c r="D114" s="25">
        <v>9.77</v>
      </c>
      <c r="E114" s="25">
        <v>0.439</v>
      </c>
      <c r="F114" s="1" t="str">
        <f t="shared" si="2"/>
        <v>HD 260655# c</v>
      </c>
      <c r="G114" s="24" t="s">
        <v>12</v>
      </c>
      <c r="H114" s="24" t="s">
        <v>272</v>
      </c>
      <c r="I114" s="25">
        <v>3.09</v>
      </c>
      <c r="J114" s="25">
        <v>1.5329999999999999</v>
      </c>
      <c r="K114" s="25"/>
      <c r="L114" s="25"/>
      <c r="M114" s="25">
        <v>4.7500000000000001E-2</v>
      </c>
      <c r="N114" s="25">
        <v>5.7060000000000004</v>
      </c>
      <c r="O114" s="25">
        <v>3.7999999999999999E-2</v>
      </c>
      <c r="P114" s="25">
        <v>87.79</v>
      </c>
      <c r="Q114" s="25">
        <v>2022</v>
      </c>
    </row>
    <row r="115" spans="1:17" x14ac:dyDescent="0.3">
      <c r="A115" s="24" t="s">
        <v>181</v>
      </c>
      <c r="B115" s="24" t="b">
        <v>1</v>
      </c>
      <c r="C115" s="25">
        <v>42</v>
      </c>
      <c r="D115" s="25"/>
      <c r="E115" s="25"/>
      <c r="F115" s="1" t="str">
        <f>A115&amp; " " &amp;G115</f>
        <v>HD 40307 b</v>
      </c>
      <c r="G115" s="24" t="s">
        <v>14</v>
      </c>
      <c r="H115" s="24" t="s">
        <v>272</v>
      </c>
      <c r="I115" s="25" t="s">
        <v>21</v>
      </c>
      <c r="J115" s="25"/>
      <c r="K115" s="25"/>
      <c r="L115" s="25"/>
      <c r="M115" s="25">
        <v>0.47</v>
      </c>
      <c r="N115" s="25">
        <v>4.3099999999999996</v>
      </c>
      <c r="O115" s="25">
        <v>0.2</v>
      </c>
      <c r="P115" s="25"/>
      <c r="Q115" s="25"/>
    </row>
    <row r="116" spans="1:17" x14ac:dyDescent="0.3">
      <c r="A116" s="24" t="s">
        <v>181</v>
      </c>
      <c r="B116" s="24" t="b">
        <v>1</v>
      </c>
      <c r="C116" s="25">
        <v>42</v>
      </c>
      <c r="D116" s="25"/>
      <c r="E116" s="25"/>
      <c r="F116" s="1" t="str">
        <f t="shared" ref="F116:F119" si="3">A116&amp; " " &amp;G116</f>
        <v>HD 40307 c</v>
      </c>
      <c r="G116" s="24" t="s">
        <v>12</v>
      </c>
      <c r="H116" s="24" t="s">
        <v>272</v>
      </c>
      <c r="I116" s="25" t="s">
        <v>106</v>
      </c>
      <c r="J116" s="25"/>
      <c r="K116" s="25"/>
      <c r="L116" s="25"/>
      <c r="M116" s="25">
        <v>8.1000000000000003E-2</v>
      </c>
      <c r="N116" s="25">
        <v>9.51</v>
      </c>
      <c r="O116" s="25">
        <v>0.06</v>
      </c>
      <c r="P116" s="25"/>
      <c r="Q116" s="25"/>
    </row>
    <row r="117" spans="1:17" x14ac:dyDescent="0.3">
      <c r="A117" s="24" t="s">
        <v>181</v>
      </c>
      <c r="B117" s="24" t="b">
        <v>1</v>
      </c>
      <c r="C117" s="25">
        <v>42</v>
      </c>
      <c r="D117" s="25"/>
      <c r="E117" s="25"/>
      <c r="F117" s="1" t="str">
        <f t="shared" si="3"/>
        <v>HD 40307 d</v>
      </c>
      <c r="G117" s="24" t="s">
        <v>9</v>
      </c>
      <c r="H117" s="24" t="s">
        <v>272</v>
      </c>
      <c r="I117" s="25" t="s">
        <v>183</v>
      </c>
      <c r="J117" s="25"/>
      <c r="K117" s="25"/>
      <c r="L117" s="25"/>
      <c r="M117" s="25">
        <v>0.13400000000000001</v>
      </c>
      <c r="N117" s="25">
        <v>20.43</v>
      </c>
      <c r="O117" s="25">
        <v>7.0000000000000007E-2</v>
      </c>
      <c r="P117" s="25"/>
      <c r="Q117" s="25"/>
    </row>
    <row r="118" spans="1:17" x14ac:dyDescent="0.3">
      <c r="A118" s="24" t="s">
        <v>181</v>
      </c>
      <c r="B118" s="24" t="b">
        <v>1</v>
      </c>
      <c r="C118" s="25">
        <v>42</v>
      </c>
      <c r="D118" s="25"/>
      <c r="E118" s="25"/>
      <c r="F118" s="1" t="str">
        <f t="shared" si="3"/>
        <v>HD 40307 e</v>
      </c>
      <c r="G118" s="24" t="s">
        <v>37</v>
      </c>
      <c r="H118" s="24" t="s">
        <v>272</v>
      </c>
      <c r="I118" s="25" t="s">
        <v>182</v>
      </c>
      <c r="J118" s="25"/>
      <c r="K118" s="25"/>
      <c r="L118" s="25"/>
      <c r="M118" s="25">
        <v>0.18859999999999999</v>
      </c>
      <c r="N118" s="25">
        <v>34.619999999999997</v>
      </c>
      <c r="O118" s="25">
        <v>0.15</v>
      </c>
      <c r="P118" s="25"/>
      <c r="Q118" s="25"/>
    </row>
    <row r="119" spans="1:17" x14ac:dyDescent="0.3">
      <c r="A119" s="24" t="s">
        <v>181</v>
      </c>
      <c r="B119" s="24" t="b">
        <v>1</v>
      </c>
      <c r="C119" s="25">
        <v>42</v>
      </c>
      <c r="D119" s="25"/>
      <c r="E119" s="25"/>
      <c r="F119" s="1" t="str">
        <f t="shared" si="3"/>
        <v>HD 40307 f</v>
      </c>
      <c r="G119" s="24" t="s">
        <v>87</v>
      </c>
      <c r="H119" s="24" t="b">
        <v>0</v>
      </c>
      <c r="I119" s="25" t="s">
        <v>102</v>
      </c>
      <c r="J119" s="25"/>
      <c r="K119" s="25">
        <v>112</v>
      </c>
      <c r="L119" s="25"/>
      <c r="M119" s="25">
        <v>0.247</v>
      </c>
      <c r="N119" s="25">
        <v>51.73</v>
      </c>
      <c r="O119" s="25">
        <v>0.02</v>
      </c>
      <c r="P119" s="25"/>
      <c r="Q119" s="25"/>
    </row>
    <row r="120" spans="1:17" x14ac:dyDescent="0.3">
      <c r="A120" s="24" t="s">
        <v>181</v>
      </c>
      <c r="B120" s="24" t="b">
        <v>1</v>
      </c>
      <c r="C120" s="25">
        <v>42</v>
      </c>
      <c r="D120" s="25"/>
      <c r="E120" s="25"/>
      <c r="F120" s="1" t="str">
        <f>A120&amp; " " &amp;G120</f>
        <v>HD 40307 g</v>
      </c>
      <c r="G120" s="24" t="s">
        <v>32</v>
      </c>
      <c r="H120" s="24" t="s">
        <v>273</v>
      </c>
      <c r="I120" s="25" t="s">
        <v>108</v>
      </c>
      <c r="J120" s="25">
        <v>2.39</v>
      </c>
      <c r="K120" s="25">
        <v>11</v>
      </c>
      <c r="L120" s="25"/>
      <c r="M120" s="25">
        <v>0.6</v>
      </c>
      <c r="N120" s="25">
        <v>197.8</v>
      </c>
      <c r="O120" s="25">
        <v>0.22</v>
      </c>
      <c r="P120" s="25"/>
      <c r="Q120" s="25"/>
    </row>
    <row r="121" spans="1:17" x14ac:dyDescent="0.3">
      <c r="A121" s="24" t="s">
        <v>185</v>
      </c>
      <c r="B121" s="24"/>
      <c r="C121" s="25">
        <v>36</v>
      </c>
      <c r="D121" s="25"/>
      <c r="E121" s="25"/>
      <c r="F121" s="1" t="str">
        <f>A121&amp; " " &amp;G121</f>
        <v>HD 85512 b</v>
      </c>
      <c r="G121" s="24" t="s">
        <v>14</v>
      </c>
      <c r="H121" s="24" t="s">
        <v>272</v>
      </c>
      <c r="I121" s="25" t="s">
        <v>51</v>
      </c>
      <c r="J121" s="25">
        <v>1.74</v>
      </c>
      <c r="K121" s="25">
        <v>78</v>
      </c>
      <c r="L121" s="25">
        <v>1.33</v>
      </c>
      <c r="M121" s="25">
        <v>0.26</v>
      </c>
      <c r="N121" s="25"/>
      <c r="O121" s="25">
        <v>0.11</v>
      </c>
      <c r="P121" s="25"/>
      <c r="Q121" s="25"/>
    </row>
    <row r="122" spans="1:17" x14ac:dyDescent="0.3">
      <c r="A122" s="24" t="s">
        <v>186</v>
      </c>
      <c r="B122" s="24"/>
      <c r="C122" s="25">
        <v>38</v>
      </c>
      <c r="D122" s="25"/>
      <c r="E122" s="25"/>
      <c r="F122" s="1" t="str">
        <f>A122&amp; " " &amp;G122</f>
        <v>Gilese 180 b</v>
      </c>
      <c r="G122" s="24" t="s">
        <v>14</v>
      </c>
      <c r="H122" s="24" t="s">
        <v>273</v>
      </c>
      <c r="I122" s="25" t="s">
        <v>61</v>
      </c>
      <c r="J122" s="25"/>
      <c r="K122" s="25">
        <v>39</v>
      </c>
      <c r="L122" s="25"/>
      <c r="M122" s="25"/>
      <c r="N122" s="25"/>
      <c r="O122" s="25"/>
      <c r="P122" s="25"/>
      <c r="Q122" s="25"/>
    </row>
    <row r="123" spans="1:17" x14ac:dyDescent="0.3">
      <c r="A123" s="24" t="s">
        <v>184</v>
      </c>
      <c r="B123" s="24" t="b">
        <v>1</v>
      </c>
      <c r="C123" s="25">
        <v>39.5</v>
      </c>
      <c r="D123" s="25"/>
      <c r="E123" s="25"/>
      <c r="F123" s="1" t="str">
        <f>A123&amp; " " &amp;G123</f>
        <v>TRAPPIST-1 b</v>
      </c>
      <c r="G123" s="24" t="s">
        <v>14</v>
      </c>
      <c r="H123" s="24" t="s">
        <v>272</v>
      </c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1:17" x14ac:dyDescent="0.3">
      <c r="A124" s="24" t="s">
        <v>184</v>
      </c>
      <c r="B124" s="24" t="b">
        <v>1</v>
      </c>
      <c r="C124" s="25">
        <v>39.5</v>
      </c>
      <c r="D124" s="25"/>
      <c r="E124" s="25"/>
      <c r="F124" s="1" t="str">
        <f t="shared" ref="F124:F129" si="4">A124&amp; " " &amp;G124</f>
        <v>TRAPPIST-1 c</v>
      </c>
      <c r="G124" s="24" t="s">
        <v>12</v>
      </c>
      <c r="H124" s="24" t="s">
        <v>272</v>
      </c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1:17" x14ac:dyDescent="0.3">
      <c r="A125" s="24" t="s">
        <v>184</v>
      </c>
      <c r="B125" s="24" t="b">
        <v>1</v>
      </c>
      <c r="C125" s="25">
        <v>39.5</v>
      </c>
      <c r="D125" s="25"/>
      <c r="E125" s="25"/>
      <c r="F125" s="1" t="str">
        <f t="shared" si="4"/>
        <v>TRAPPIST-1 d</v>
      </c>
      <c r="G125" s="24" t="s">
        <v>9</v>
      </c>
      <c r="H125" s="24" t="s">
        <v>273</v>
      </c>
      <c r="I125" s="25">
        <v>0.48</v>
      </c>
      <c r="J125" s="25"/>
      <c r="K125" s="25">
        <v>9</v>
      </c>
      <c r="L125" s="25">
        <v>0.48299999999999998</v>
      </c>
      <c r="M125" s="25">
        <v>2.1999999999999999E-2</v>
      </c>
      <c r="N125" s="25">
        <v>4.0490000000000004</v>
      </c>
      <c r="O125" s="25">
        <v>8.0000000000000002E-3</v>
      </c>
      <c r="P125" s="25">
        <v>89.89</v>
      </c>
      <c r="Q125" s="25"/>
    </row>
    <row r="126" spans="1:17" x14ac:dyDescent="0.3">
      <c r="A126" s="24" t="s">
        <v>184</v>
      </c>
      <c r="B126" s="24" t="b">
        <v>1</v>
      </c>
      <c r="C126" s="25">
        <v>39.5</v>
      </c>
      <c r="D126" s="25"/>
      <c r="E126" s="25"/>
      <c r="F126" s="1" t="str">
        <f t="shared" si="4"/>
        <v>TRAPPIST-1 e</v>
      </c>
      <c r="G126" s="24" t="s">
        <v>37</v>
      </c>
      <c r="H126" s="24" t="s">
        <v>273</v>
      </c>
      <c r="I126" s="25"/>
      <c r="J126" s="25">
        <v>0.91</v>
      </c>
      <c r="K126" s="25">
        <v>-27</v>
      </c>
      <c r="L126" s="25">
        <v>0.93</v>
      </c>
      <c r="M126" s="25"/>
      <c r="N126" s="25">
        <v>6.09</v>
      </c>
      <c r="O126" s="25">
        <v>5.0000000000000001E-3</v>
      </c>
      <c r="P126" s="25">
        <v>89.86</v>
      </c>
      <c r="Q126" s="25"/>
    </row>
    <row r="127" spans="1:17" x14ac:dyDescent="0.3">
      <c r="A127" s="24" t="s">
        <v>184</v>
      </c>
      <c r="B127" s="24" t="b">
        <v>1</v>
      </c>
      <c r="C127" s="25">
        <v>39.5</v>
      </c>
      <c r="D127" s="25"/>
      <c r="E127" s="25"/>
      <c r="F127" s="1" t="str">
        <f t="shared" si="4"/>
        <v>TRAPPIST-1 f</v>
      </c>
      <c r="G127" s="24" t="s">
        <v>87</v>
      </c>
      <c r="H127" s="24" t="s">
        <v>273</v>
      </c>
      <c r="I127" s="25"/>
      <c r="J127" s="25"/>
      <c r="K127" s="25">
        <v>-54</v>
      </c>
      <c r="L127" s="25"/>
      <c r="M127" s="25"/>
      <c r="N127" s="25"/>
      <c r="O127" s="25"/>
      <c r="P127" s="25"/>
      <c r="Q127" s="25"/>
    </row>
    <row r="128" spans="1:17" x14ac:dyDescent="0.3">
      <c r="A128" s="24" t="s">
        <v>184</v>
      </c>
      <c r="B128" s="24" t="b">
        <v>1</v>
      </c>
      <c r="C128" s="25">
        <v>39.5</v>
      </c>
      <c r="D128" s="25"/>
      <c r="E128" s="25"/>
      <c r="F128" s="1" t="str">
        <f t="shared" si="4"/>
        <v>TRAPPIST-1 g</v>
      </c>
      <c r="G128" s="24" t="s">
        <v>32</v>
      </c>
      <c r="H128" s="24" t="s">
        <v>272</v>
      </c>
      <c r="I128" s="25"/>
      <c r="J128" s="25"/>
      <c r="K128" s="25">
        <v>-75</v>
      </c>
      <c r="L128" s="25"/>
      <c r="M128" s="25"/>
      <c r="N128" s="25"/>
      <c r="O128" s="25"/>
      <c r="P128" s="25"/>
      <c r="Q128" s="25"/>
    </row>
    <row r="129" spans="1:17" x14ac:dyDescent="0.3">
      <c r="A129" s="24" t="s">
        <v>184</v>
      </c>
      <c r="B129" s="24" t="b">
        <v>1</v>
      </c>
      <c r="C129" s="25">
        <v>39.5</v>
      </c>
      <c r="D129" s="25"/>
      <c r="E129" s="25"/>
      <c r="F129" s="1" t="str">
        <f t="shared" si="4"/>
        <v>TRAPPIST-1 h</v>
      </c>
      <c r="G129" s="24" t="s">
        <v>35</v>
      </c>
      <c r="H129" s="24" t="b">
        <v>0</v>
      </c>
      <c r="I129" s="25"/>
      <c r="J129" s="25"/>
      <c r="K129" s="25">
        <v>-104</v>
      </c>
      <c r="L129" s="25"/>
      <c r="M129" s="25"/>
      <c r="N129" s="25"/>
      <c r="O129" s="25"/>
      <c r="P129" s="25"/>
      <c r="Q129" s="25"/>
    </row>
    <row r="130" spans="1:17" x14ac:dyDescent="0.3">
      <c r="A130" s="24" t="s">
        <v>313</v>
      </c>
      <c r="B130" s="24" t="b">
        <v>1</v>
      </c>
      <c r="C130" s="25">
        <v>600</v>
      </c>
      <c r="D130" s="25"/>
      <c r="E130" s="25"/>
      <c r="F130" s="1" t="str">
        <f>A130&amp; " " &amp;G130</f>
        <v>Kepler-22b b</v>
      </c>
      <c r="G130" s="24" t="s">
        <v>14</v>
      </c>
      <c r="H130" s="24" t="s">
        <v>273</v>
      </c>
      <c r="I130" s="25" t="s">
        <v>314</v>
      </c>
      <c r="J130" s="25">
        <v>2.4</v>
      </c>
      <c r="K130" s="25">
        <v>-11</v>
      </c>
      <c r="L130" s="25"/>
      <c r="M130" s="25"/>
      <c r="N130" s="25"/>
      <c r="O130" s="25"/>
      <c r="P130" s="25"/>
      <c r="Q130" s="25"/>
    </row>
  </sheetData>
  <mergeCells count="2">
    <mergeCell ref="F1:Q1"/>
    <mergeCell ref="A1:E1"/>
  </mergeCells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E0696-AD93-4092-B7D7-94320A439979}">
  <dimension ref="A1:C12"/>
  <sheetViews>
    <sheetView workbookViewId="0">
      <selection activeCell="A3" sqref="A3"/>
    </sheetView>
  </sheetViews>
  <sheetFormatPr defaultRowHeight="14.4" x14ac:dyDescent="0.3"/>
  <cols>
    <col min="1" max="1" width="13.6640625" customWidth="1"/>
    <col min="2" max="2" width="13.5546875" bestFit="1" customWidth="1"/>
    <col min="3" max="3" width="192.44140625" customWidth="1"/>
  </cols>
  <sheetData>
    <row r="1" spans="1:3" x14ac:dyDescent="0.3">
      <c r="A1" t="s">
        <v>187</v>
      </c>
      <c r="B1" t="s">
        <v>188</v>
      </c>
      <c r="C1" t="s">
        <v>189</v>
      </c>
    </row>
    <row r="2" spans="1:3" x14ac:dyDescent="0.3">
      <c r="A2" t="s">
        <v>190</v>
      </c>
      <c r="B2">
        <v>4.3</v>
      </c>
      <c r="C2" t="s">
        <v>191</v>
      </c>
    </row>
    <row r="3" spans="1:3" x14ac:dyDescent="0.3">
      <c r="A3" t="s">
        <v>174</v>
      </c>
      <c r="B3">
        <v>6</v>
      </c>
      <c r="C3" t="s">
        <v>192</v>
      </c>
    </row>
    <row r="4" spans="1:3" x14ac:dyDescent="0.3">
      <c r="A4" t="s">
        <v>193</v>
      </c>
      <c r="B4">
        <v>8.6999999999999993</v>
      </c>
      <c r="C4" t="s">
        <v>194</v>
      </c>
    </row>
    <row r="5" spans="1:3" x14ac:dyDescent="0.3">
      <c r="A5" t="s">
        <v>19</v>
      </c>
      <c r="B5">
        <v>10.8</v>
      </c>
      <c r="C5" t="s">
        <v>195</v>
      </c>
    </row>
    <row r="6" spans="1:3" x14ac:dyDescent="0.3">
      <c r="A6" t="s">
        <v>196</v>
      </c>
      <c r="B6">
        <v>11.8</v>
      </c>
      <c r="C6" t="s">
        <v>197</v>
      </c>
    </row>
    <row r="7" spans="1:3" x14ac:dyDescent="0.3">
      <c r="A7" t="s">
        <v>148</v>
      </c>
      <c r="B7">
        <v>12.36</v>
      </c>
      <c r="C7" t="s">
        <v>198</v>
      </c>
    </row>
    <row r="8" spans="1:3" x14ac:dyDescent="0.3">
      <c r="A8" t="s">
        <v>155</v>
      </c>
      <c r="B8" t="s">
        <v>199</v>
      </c>
      <c r="C8" t="s">
        <v>200</v>
      </c>
    </row>
    <row r="9" spans="1:3" x14ac:dyDescent="0.3">
      <c r="A9" t="s">
        <v>172</v>
      </c>
      <c r="B9">
        <v>20.3</v>
      </c>
      <c r="C9" t="s">
        <v>201</v>
      </c>
    </row>
    <row r="10" spans="1:3" x14ac:dyDescent="0.3">
      <c r="A10" t="s">
        <v>202</v>
      </c>
      <c r="B10">
        <v>22</v>
      </c>
      <c r="C10" t="s">
        <v>203</v>
      </c>
    </row>
    <row r="11" spans="1:3" x14ac:dyDescent="0.3">
      <c r="A11" t="s">
        <v>204</v>
      </c>
      <c r="B11">
        <v>25</v>
      </c>
      <c r="C11" t="s">
        <v>205</v>
      </c>
    </row>
    <row r="12" spans="1:3" x14ac:dyDescent="0.3">
      <c r="A12" t="s">
        <v>184</v>
      </c>
      <c r="B12">
        <v>39</v>
      </c>
      <c r="C12" t="s">
        <v>206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636DC-C99E-4F6E-A040-9F9E7EAC7C6E}">
  <dimension ref="B3:M17"/>
  <sheetViews>
    <sheetView workbookViewId="0">
      <selection activeCell="M17" sqref="M17"/>
    </sheetView>
  </sheetViews>
  <sheetFormatPr defaultRowHeight="14.4" x14ac:dyDescent="0.3"/>
  <cols>
    <col min="2" max="2" width="17.44140625" bestFit="1" customWidth="1"/>
    <col min="4" max="4" width="13" bestFit="1" customWidth="1"/>
    <col min="5" max="5" width="9.6640625" bestFit="1" customWidth="1"/>
    <col min="6" max="6" width="10.21875" customWidth="1"/>
    <col min="7" max="12" width="9.33203125" customWidth="1"/>
    <col min="13" max="13" width="13.6640625" bestFit="1" customWidth="1"/>
  </cols>
  <sheetData>
    <row r="3" spans="2:13" x14ac:dyDescent="0.3">
      <c r="B3" t="s">
        <v>1</v>
      </c>
      <c r="C3" t="s">
        <v>208</v>
      </c>
      <c r="D3" t="s">
        <v>270</v>
      </c>
      <c r="E3" t="s">
        <v>237</v>
      </c>
      <c r="F3" t="s">
        <v>236</v>
      </c>
      <c r="G3" t="s">
        <v>238</v>
      </c>
      <c r="H3" t="s">
        <v>244</v>
      </c>
      <c r="I3" t="s">
        <v>245</v>
      </c>
      <c r="J3" t="s">
        <v>263</v>
      </c>
      <c r="K3" t="s">
        <v>246</v>
      </c>
      <c r="L3" t="s">
        <v>261</v>
      </c>
      <c r="M3" t="s">
        <v>260</v>
      </c>
    </row>
    <row r="4" spans="2:13" x14ac:dyDescent="0.3">
      <c r="B4" t="s">
        <v>247</v>
      </c>
      <c r="C4" t="s">
        <v>232</v>
      </c>
      <c r="D4">
        <v>4788</v>
      </c>
      <c r="E4">
        <v>402</v>
      </c>
      <c r="F4">
        <v>248</v>
      </c>
      <c r="G4">
        <v>430</v>
      </c>
      <c r="H4">
        <v>210</v>
      </c>
      <c r="I4">
        <v>188</v>
      </c>
      <c r="J4">
        <v>114</v>
      </c>
      <c r="K4">
        <v>248</v>
      </c>
      <c r="L4">
        <v>430</v>
      </c>
      <c r="M4">
        <f>SUM(Vessel[[#This Row],[Military]:[Laborer]])</f>
        <v>2270</v>
      </c>
    </row>
    <row r="5" spans="2:13" x14ac:dyDescent="0.3">
      <c r="B5" t="s">
        <v>248</v>
      </c>
      <c r="C5" t="s">
        <v>232</v>
      </c>
      <c r="D5">
        <v>2203</v>
      </c>
      <c r="E5">
        <v>290</v>
      </c>
      <c r="F5">
        <v>272</v>
      </c>
      <c r="G5">
        <v>408</v>
      </c>
      <c r="H5">
        <v>218</v>
      </c>
      <c r="I5">
        <v>202</v>
      </c>
      <c r="J5">
        <v>170</v>
      </c>
      <c r="K5">
        <v>272</v>
      </c>
      <c r="L5">
        <v>408</v>
      </c>
      <c r="M5">
        <f>SUM(Vessel[[#This Row],[Military]:[Laborer]])</f>
        <v>2240</v>
      </c>
    </row>
    <row r="6" spans="2:13" x14ac:dyDescent="0.3">
      <c r="B6" t="s">
        <v>249</v>
      </c>
      <c r="C6" t="s">
        <v>233</v>
      </c>
      <c r="D6">
        <v>4855</v>
      </c>
      <c r="E6">
        <v>446</v>
      </c>
      <c r="F6">
        <v>190</v>
      </c>
      <c r="G6">
        <v>242</v>
      </c>
      <c r="H6">
        <v>102</v>
      </c>
      <c r="I6">
        <v>204</v>
      </c>
      <c r="J6">
        <v>168</v>
      </c>
      <c r="K6">
        <v>190</v>
      </c>
      <c r="L6">
        <v>242</v>
      </c>
      <c r="M6">
        <f>SUM(Vessel[[#This Row],[Military]:[Laborer]])</f>
        <v>1784</v>
      </c>
    </row>
    <row r="7" spans="2:13" x14ac:dyDescent="0.3">
      <c r="B7" t="s">
        <v>250</v>
      </c>
      <c r="C7" t="s">
        <v>233</v>
      </c>
      <c r="D7">
        <v>6713</v>
      </c>
      <c r="E7">
        <v>492</v>
      </c>
      <c r="F7">
        <v>172</v>
      </c>
      <c r="G7">
        <v>234</v>
      </c>
      <c r="H7">
        <v>92</v>
      </c>
      <c r="I7">
        <v>188</v>
      </c>
      <c r="J7">
        <v>156</v>
      </c>
      <c r="K7">
        <v>172</v>
      </c>
      <c r="L7">
        <v>234</v>
      </c>
      <c r="M7">
        <f>SUM(Vessel[[#This Row],[Military]:[Laborer]])</f>
        <v>1740</v>
      </c>
    </row>
    <row r="8" spans="2:13" x14ac:dyDescent="0.3">
      <c r="B8" t="s">
        <v>251</v>
      </c>
      <c r="C8" t="s">
        <v>234</v>
      </c>
      <c r="D8">
        <v>4950</v>
      </c>
      <c r="E8">
        <v>212</v>
      </c>
      <c r="F8">
        <v>276</v>
      </c>
      <c r="G8">
        <v>190</v>
      </c>
      <c r="H8">
        <v>562</v>
      </c>
      <c r="I8">
        <v>270</v>
      </c>
      <c r="J8">
        <v>40</v>
      </c>
      <c r="K8">
        <v>276</v>
      </c>
      <c r="L8">
        <v>190</v>
      </c>
      <c r="M8">
        <f>SUM(Vessel[[#This Row],[Military]:[Laborer]])</f>
        <v>2016</v>
      </c>
    </row>
    <row r="9" spans="2:13" x14ac:dyDescent="0.3">
      <c r="B9" t="s">
        <v>258</v>
      </c>
      <c r="C9" t="s">
        <v>235</v>
      </c>
      <c r="D9">
        <v>5667</v>
      </c>
      <c r="E9">
        <v>298</v>
      </c>
      <c r="F9">
        <v>170</v>
      </c>
      <c r="G9">
        <v>300</v>
      </c>
      <c r="H9">
        <v>156</v>
      </c>
      <c r="I9">
        <v>244</v>
      </c>
      <c r="J9">
        <v>290</v>
      </c>
      <c r="K9">
        <v>170</v>
      </c>
      <c r="L9">
        <v>300</v>
      </c>
      <c r="M9">
        <f>SUM(Vessel[[#This Row],[Military]:[Laborer]])</f>
        <v>1928</v>
      </c>
    </row>
    <row r="10" spans="2:13" x14ac:dyDescent="0.3">
      <c r="B10" t="s">
        <v>259</v>
      </c>
      <c r="C10" t="s">
        <v>235</v>
      </c>
      <c r="D10">
        <v>2933</v>
      </c>
      <c r="E10">
        <v>248</v>
      </c>
      <c r="F10">
        <v>150</v>
      </c>
      <c r="G10">
        <v>276</v>
      </c>
      <c r="H10">
        <v>170</v>
      </c>
      <c r="I10">
        <v>290</v>
      </c>
      <c r="J10">
        <v>324</v>
      </c>
      <c r="K10">
        <v>150</v>
      </c>
      <c r="L10">
        <v>276</v>
      </c>
      <c r="M10">
        <f>SUM(Vessel[[#This Row],[Military]:[Laborer]])</f>
        <v>1884</v>
      </c>
    </row>
    <row r="11" spans="2:13" x14ac:dyDescent="0.3">
      <c r="B11" t="s">
        <v>252</v>
      </c>
      <c r="C11" t="s">
        <v>234</v>
      </c>
      <c r="D11">
        <v>5277</v>
      </c>
      <c r="E11">
        <v>210</v>
      </c>
      <c r="F11">
        <v>238</v>
      </c>
      <c r="G11">
        <v>186</v>
      </c>
      <c r="H11">
        <v>570</v>
      </c>
      <c r="I11">
        <v>290</v>
      </c>
      <c r="J11">
        <v>62</v>
      </c>
      <c r="K11">
        <v>238</v>
      </c>
      <c r="L11">
        <v>186</v>
      </c>
      <c r="M11">
        <f>SUM(Vessel[[#This Row],[Military]:[Laborer]])</f>
        <v>1980</v>
      </c>
    </row>
    <row r="12" spans="2:13" x14ac:dyDescent="0.3">
      <c r="B12" t="s">
        <v>254</v>
      </c>
      <c r="C12" t="s">
        <v>234</v>
      </c>
      <c r="D12">
        <v>6333</v>
      </c>
      <c r="E12">
        <v>198</v>
      </c>
      <c r="F12">
        <v>234</v>
      </c>
      <c r="G12">
        <v>210</v>
      </c>
      <c r="H12">
        <v>540</v>
      </c>
      <c r="I12">
        <v>268</v>
      </c>
      <c r="J12">
        <v>70</v>
      </c>
      <c r="K12">
        <v>234</v>
      </c>
      <c r="L12">
        <v>210</v>
      </c>
      <c r="M12">
        <f>SUM(Vessel[[#This Row],[Military]:[Laborer]])</f>
        <v>1964</v>
      </c>
    </row>
    <row r="13" spans="2:13" x14ac:dyDescent="0.3">
      <c r="B13" t="s">
        <v>253</v>
      </c>
      <c r="C13" t="s">
        <v>234</v>
      </c>
      <c r="D13">
        <v>4202</v>
      </c>
      <c r="E13">
        <v>226</v>
      </c>
      <c r="F13">
        <v>242</v>
      </c>
      <c r="G13">
        <v>224</v>
      </c>
      <c r="H13">
        <v>514</v>
      </c>
      <c r="I13">
        <v>300</v>
      </c>
      <c r="J13">
        <v>52</v>
      </c>
      <c r="K13">
        <v>242</v>
      </c>
      <c r="L13">
        <v>224</v>
      </c>
      <c r="M13">
        <f>SUM(Vessel[[#This Row],[Military]:[Laborer]])</f>
        <v>2024</v>
      </c>
    </row>
    <row r="14" spans="2:13" x14ac:dyDescent="0.3">
      <c r="B14" t="s">
        <v>257</v>
      </c>
      <c r="C14" t="s">
        <v>233</v>
      </c>
      <c r="D14">
        <v>2892</v>
      </c>
      <c r="E14">
        <v>502</v>
      </c>
      <c r="F14">
        <v>182</v>
      </c>
      <c r="G14">
        <v>198</v>
      </c>
      <c r="H14">
        <v>114</v>
      </c>
      <c r="I14">
        <v>234</v>
      </c>
      <c r="J14">
        <v>112</v>
      </c>
      <c r="K14">
        <v>182</v>
      </c>
      <c r="L14">
        <v>198</v>
      </c>
      <c r="M14">
        <f>SUM(Vessel[[#This Row],[Military]:[Laborer]])</f>
        <v>1722</v>
      </c>
    </row>
    <row r="15" spans="2:13" x14ac:dyDescent="0.3">
      <c r="B15" t="s">
        <v>256</v>
      </c>
      <c r="C15" t="s">
        <v>232</v>
      </c>
      <c r="D15">
        <v>3938</v>
      </c>
      <c r="E15">
        <v>350</v>
      </c>
      <c r="F15">
        <v>350</v>
      </c>
      <c r="G15">
        <v>290</v>
      </c>
      <c r="H15">
        <v>248</v>
      </c>
      <c r="I15">
        <v>172</v>
      </c>
      <c r="J15">
        <v>182</v>
      </c>
      <c r="K15">
        <v>350</v>
      </c>
      <c r="L15">
        <v>290</v>
      </c>
      <c r="M15">
        <f>SUM(Vessel[[#This Row],[Military]:[Laborer]])</f>
        <v>2232</v>
      </c>
    </row>
    <row r="16" spans="2:13" x14ac:dyDescent="0.3">
      <c r="B16" t="s">
        <v>255</v>
      </c>
      <c r="C16" t="s">
        <v>235</v>
      </c>
      <c r="D16">
        <v>5986</v>
      </c>
      <c r="E16">
        <v>202</v>
      </c>
      <c r="F16">
        <v>182</v>
      </c>
      <c r="G16">
        <v>284</v>
      </c>
      <c r="H16">
        <v>182</v>
      </c>
      <c r="I16">
        <v>336</v>
      </c>
      <c r="J16">
        <v>310</v>
      </c>
      <c r="K16">
        <v>182</v>
      </c>
      <c r="L16">
        <v>284</v>
      </c>
      <c r="M16">
        <f>SUM(Vessel[[#This Row],[Military]:[Laborer]])</f>
        <v>1962</v>
      </c>
    </row>
    <row r="17" spans="4:13" x14ac:dyDescent="0.3">
      <c r="D17" s="23"/>
      <c r="E17" s="23"/>
      <c r="F17" s="23"/>
      <c r="G17" s="23"/>
      <c r="H17" s="23"/>
      <c r="I17" s="23"/>
      <c r="J17" s="23"/>
      <c r="K17" s="23"/>
      <c r="L17" s="23"/>
      <c r="M17" s="23">
        <f>SUM(Vessel[[#This Row],[Military]:[Laborer]])</f>
        <v>0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BBFE-B1B6-4A18-9E45-FD4192F8701C}">
  <dimension ref="B3:D9"/>
  <sheetViews>
    <sheetView workbookViewId="0">
      <selection activeCell="B6" sqref="B6"/>
    </sheetView>
  </sheetViews>
  <sheetFormatPr defaultRowHeight="14.4" x14ac:dyDescent="0.3"/>
  <cols>
    <col min="2" max="2" width="18.88671875" bestFit="1" customWidth="1"/>
    <col min="3" max="3" width="16.109375" customWidth="1"/>
    <col min="4" max="4" width="17.77734375" customWidth="1"/>
  </cols>
  <sheetData>
    <row r="3" spans="2:4" x14ac:dyDescent="0.3">
      <c r="B3" t="s">
        <v>239</v>
      </c>
      <c r="C3" t="s">
        <v>281</v>
      </c>
      <c r="D3" t="s">
        <v>282</v>
      </c>
    </row>
    <row r="4" spans="2:4" x14ac:dyDescent="0.3">
      <c r="B4" t="s">
        <v>283</v>
      </c>
      <c r="C4" s="15">
        <v>0.8</v>
      </c>
      <c r="D4" s="15">
        <v>0.25</v>
      </c>
    </row>
    <row r="5" spans="2:4" x14ac:dyDescent="0.3">
      <c r="B5" t="s">
        <v>279</v>
      </c>
      <c r="C5" s="15">
        <v>0.6</v>
      </c>
      <c r="D5" s="15">
        <v>0.85</v>
      </c>
    </row>
    <row r="6" spans="2:4" x14ac:dyDescent="0.3">
      <c r="B6" t="s">
        <v>284</v>
      </c>
      <c r="C6" s="15">
        <v>0.9</v>
      </c>
      <c r="D6" s="15">
        <v>0.1</v>
      </c>
    </row>
    <row r="7" spans="2:4" x14ac:dyDescent="0.3">
      <c r="B7" t="s">
        <v>267</v>
      </c>
      <c r="C7" s="15">
        <v>0.7</v>
      </c>
      <c r="D7" s="15">
        <v>0.55000000000000004</v>
      </c>
    </row>
    <row r="8" spans="2:4" x14ac:dyDescent="0.3">
      <c r="B8" t="s">
        <v>280</v>
      </c>
      <c r="C8" s="15">
        <v>0.65</v>
      </c>
      <c r="D8" s="15">
        <v>0.7</v>
      </c>
    </row>
    <row r="9" spans="2:4" x14ac:dyDescent="0.3">
      <c r="C9" s="15"/>
      <c r="D9" s="15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12AE6-DA69-4A79-AF0F-DFDDC916A0A2}">
  <dimension ref="B3:K19"/>
  <sheetViews>
    <sheetView topLeftCell="A3" workbookViewId="0">
      <selection activeCell="I4" sqref="I4:I19"/>
    </sheetView>
  </sheetViews>
  <sheetFormatPr defaultRowHeight="14.4" x14ac:dyDescent="0.3"/>
  <cols>
    <col min="2" max="3" width="16.109375" bestFit="1" customWidth="1"/>
    <col min="4" max="4" width="14.33203125" customWidth="1"/>
    <col min="5" max="5" width="10.88671875" bestFit="1" customWidth="1"/>
    <col min="6" max="6" width="15.44140625" customWidth="1"/>
    <col min="7" max="7" width="35.44140625" bestFit="1" customWidth="1"/>
    <col min="8" max="8" width="20.33203125" bestFit="1" customWidth="1"/>
    <col min="9" max="9" width="17.77734375" customWidth="1"/>
    <col min="11" max="11" width="15.5546875" customWidth="1"/>
  </cols>
  <sheetData>
    <row r="3" spans="2:11" x14ac:dyDescent="0.3">
      <c r="B3" t="s">
        <v>207</v>
      </c>
      <c r="C3" t="s">
        <v>208</v>
      </c>
      <c r="D3" t="s">
        <v>222</v>
      </c>
      <c r="E3" t="s">
        <v>217</v>
      </c>
      <c r="F3" t="s">
        <v>295</v>
      </c>
      <c r="G3" s="15" t="s">
        <v>229</v>
      </c>
      <c r="H3" t="s">
        <v>299</v>
      </c>
      <c r="I3" s="12" t="s">
        <v>303</v>
      </c>
    </row>
    <row r="4" spans="2:11" x14ac:dyDescent="0.3">
      <c r="B4" t="s">
        <v>212</v>
      </c>
      <c r="C4" t="s">
        <v>209</v>
      </c>
      <c r="D4" s="5">
        <v>1340000000</v>
      </c>
      <c r="E4" s="6">
        <v>2</v>
      </c>
      <c r="F4">
        <v>15</v>
      </c>
      <c r="G4" s="18">
        <v>0.7</v>
      </c>
      <c r="H4" t="s">
        <v>232</v>
      </c>
      <c r="I4" s="15" t="s">
        <v>304</v>
      </c>
    </row>
    <row r="5" spans="2:11" x14ac:dyDescent="0.3">
      <c r="B5" t="s">
        <v>213</v>
      </c>
      <c r="C5" t="s">
        <v>210</v>
      </c>
      <c r="D5" s="5">
        <v>109000000</v>
      </c>
      <c r="E5" s="6">
        <v>0.16268656716417909</v>
      </c>
      <c r="F5">
        <v>4</v>
      </c>
      <c r="G5" s="18">
        <v>0.99</v>
      </c>
      <c r="H5" t="s">
        <v>233</v>
      </c>
      <c r="I5" s="15" t="s">
        <v>306</v>
      </c>
    </row>
    <row r="6" spans="2:11" x14ac:dyDescent="0.3">
      <c r="B6" t="s">
        <v>221</v>
      </c>
      <c r="C6" t="s">
        <v>211</v>
      </c>
      <c r="D6" s="5">
        <v>157100</v>
      </c>
      <c r="E6" s="6">
        <v>0</v>
      </c>
      <c r="F6">
        <v>0</v>
      </c>
      <c r="G6" s="18">
        <v>0.99</v>
      </c>
      <c r="H6" t="s">
        <v>234</v>
      </c>
      <c r="I6" s="15" t="s">
        <v>308</v>
      </c>
    </row>
    <row r="7" spans="2:11" x14ac:dyDescent="0.3">
      <c r="B7" t="s">
        <v>218</v>
      </c>
      <c r="C7" t="s">
        <v>215</v>
      </c>
      <c r="D7" s="5">
        <v>400000</v>
      </c>
      <c r="E7" s="6">
        <v>0</v>
      </c>
      <c r="F7">
        <v>1</v>
      </c>
      <c r="G7" s="18">
        <v>0.95</v>
      </c>
      <c r="H7" t="s">
        <v>233</v>
      </c>
      <c r="I7" s="15" t="s">
        <v>307</v>
      </c>
    </row>
    <row r="8" spans="2:11" x14ac:dyDescent="0.3">
      <c r="B8" t="s">
        <v>219</v>
      </c>
      <c r="C8" t="s">
        <v>216</v>
      </c>
      <c r="D8" s="5">
        <v>98210000</v>
      </c>
      <c r="E8" s="6">
        <v>0.14658208955223881</v>
      </c>
      <c r="F8">
        <v>2.5</v>
      </c>
      <c r="G8" s="18">
        <v>0.95</v>
      </c>
      <c r="H8" t="s">
        <v>233</v>
      </c>
      <c r="I8" s="15" t="s">
        <v>306</v>
      </c>
    </row>
    <row r="9" spans="2:11" x14ac:dyDescent="0.3">
      <c r="B9" t="s">
        <v>220</v>
      </c>
      <c r="C9" t="s">
        <v>211</v>
      </c>
      <c r="D9" s="5">
        <v>550000</v>
      </c>
      <c r="E9" s="6">
        <v>0</v>
      </c>
      <c r="F9">
        <v>0</v>
      </c>
      <c r="G9" s="18">
        <v>0.99</v>
      </c>
      <c r="H9" t="s">
        <v>234</v>
      </c>
      <c r="I9" s="15" t="s">
        <v>305</v>
      </c>
    </row>
    <row r="10" spans="2:11" x14ac:dyDescent="0.3">
      <c r="B10" t="s">
        <v>223</v>
      </c>
      <c r="C10" t="s">
        <v>211</v>
      </c>
      <c r="D10" s="5">
        <v>25280</v>
      </c>
      <c r="E10" s="6">
        <v>0</v>
      </c>
      <c r="F10">
        <v>0</v>
      </c>
      <c r="G10" s="18">
        <v>0.99</v>
      </c>
      <c r="H10" t="s">
        <v>234</v>
      </c>
      <c r="I10" s="15" t="s">
        <v>308</v>
      </c>
    </row>
    <row r="11" spans="2:11" x14ac:dyDescent="0.3">
      <c r="B11" t="s">
        <v>214</v>
      </c>
      <c r="C11" t="s">
        <v>211</v>
      </c>
      <c r="D11" s="5">
        <v>430000</v>
      </c>
      <c r="E11" s="6">
        <v>0</v>
      </c>
      <c r="F11">
        <v>0</v>
      </c>
      <c r="G11" s="18">
        <v>0.99</v>
      </c>
      <c r="H11" t="s">
        <v>234</v>
      </c>
      <c r="I11" s="15" t="s">
        <v>305</v>
      </c>
    </row>
    <row r="12" spans="2:11" x14ac:dyDescent="0.3">
      <c r="B12" t="s">
        <v>224</v>
      </c>
      <c r="C12" t="s">
        <v>210</v>
      </c>
      <c r="D12" s="5">
        <v>134000000</v>
      </c>
      <c r="E12" s="6">
        <v>0.2</v>
      </c>
      <c r="F12">
        <v>4</v>
      </c>
      <c r="G12" s="18">
        <v>0.95</v>
      </c>
      <c r="H12" t="s">
        <v>232</v>
      </c>
      <c r="I12" s="15" t="s">
        <v>306</v>
      </c>
      <c r="K12" s="5"/>
    </row>
    <row r="13" spans="2:11" x14ac:dyDescent="0.3">
      <c r="B13" t="s">
        <v>225</v>
      </c>
      <c r="C13" t="s">
        <v>216</v>
      </c>
      <c r="D13" s="5">
        <v>72000000</v>
      </c>
      <c r="E13" s="6">
        <v>0.10746268656716418</v>
      </c>
      <c r="F13">
        <v>2</v>
      </c>
      <c r="G13" s="18">
        <v>0.75</v>
      </c>
      <c r="H13" t="s">
        <v>233</v>
      </c>
      <c r="I13" s="15" t="s">
        <v>306</v>
      </c>
    </row>
    <row r="14" spans="2:11" x14ac:dyDescent="0.3">
      <c r="B14" t="s">
        <v>226</v>
      </c>
      <c r="C14" t="s">
        <v>209</v>
      </c>
      <c r="D14" s="5">
        <v>2310000000</v>
      </c>
      <c r="E14" s="6">
        <v>3.4477611940298507</v>
      </c>
      <c r="F14">
        <v>18</v>
      </c>
      <c r="G14" s="18">
        <v>0.78</v>
      </c>
      <c r="H14" t="s">
        <v>235</v>
      </c>
      <c r="I14" s="15" t="s">
        <v>304</v>
      </c>
      <c r="K14" s="5"/>
    </row>
    <row r="15" spans="2:11" x14ac:dyDescent="0.3">
      <c r="B15" t="s">
        <v>227</v>
      </c>
      <c r="C15" t="s">
        <v>209</v>
      </c>
      <c r="D15" s="5">
        <v>4420000000</v>
      </c>
      <c r="E15" s="6">
        <v>6.5970149253731343</v>
      </c>
      <c r="F15">
        <v>32</v>
      </c>
      <c r="G15" s="18">
        <v>0.5</v>
      </c>
      <c r="H15" t="s">
        <v>235</v>
      </c>
      <c r="I15" s="15" t="s">
        <v>304</v>
      </c>
      <c r="K15" s="5"/>
    </row>
    <row r="16" spans="2:11" x14ac:dyDescent="0.3">
      <c r="B16" t="s">
        <v>228</v>
      </c>
      <c r="C16" t="s">
        <v>215</v>
      </c>
      <c r="D16" s="5">
        <v>245000</v>
      </c>
      <c r="E16" s="6">
        <v>0</v>
      </c>
      <c r="F16">
        <v>1</v>
      </c>
      <c r="G16" s="18">
        <v>0.99</v>
      </c>
      <c r="H16" t="s">
        <v>233</v>
      </c>
      <c r="I16" s="15" t="s">
        <v>307</v>
      </c>
    </row>
    <row r="17" spans="2:9" x14ac:dyDescent="0.3">
      <c r="B17" t="s">
        <v>230</v>
      </c>
      <c r="C17" t="s">
        <v>209</v>
      </c>
      <c r="D17" s="5">
        <v>2790000000</v>
      </c>
      <c r="E17" s="6">
        <v>4.1641791044776122</v>
      </c>
      <c r="F17">
        <v>20</v>
      </c>
      <c r="G17" s="18">
        <v>0.84</v>
      </c>
      <c r="H17" t="s">
        <v>233</v>
      </c>
      <c r="I17" s="15" t="s">
        <v>304</v>
      </c>
    </row>
    <row r="18" spans="2:9" x14ac:dyDescent="0.3">
      <c r="B18" t="s">
        <v>231</v>
      </c>
      <c r="C18" t="s">
        <v>210</v>
      </c>
      <c r="D18" s="5">
        <v>325000000</v>
      </c>
      <c r="E18" s="6">
        <v>0.48507462686567165</v>
      </c>
      <c r="F18">
        <v>5</v>
      </c>
      <c r="G18" s="18">
        <v>0.85</v>
      </c>
      <c r="H18" t="s">
        <v>232</v>
      </c>
      <c r="I18" s="15" t="s">
        <v>306</v>
      </c>
    </row>
    <row r="19" spans="2:9" x14ac:dyDescent="0.3">
      <c r="D19" s="5"/>
      <c r="E19" s="6"/>
      <c r="F19" s="23"/>
      <c r="G19" s="18"/>
      <c r="I19" s="15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CA5EF-2A48-45EE-BF80-CBC1F242D901}">
  <dimension ref="B1:W14"/>
  <sheetViews>
    <sheetView workbookViewId="0">
      <selection activeCell="U18" sqref="U18"/>
    </sheetView>
  </sheetViews>
  <sheetFormatPr defaultRowHeight="14.4" x14ac:dyDescent="0.3"/>
  <cols>
    <col min="7" max="7" width="8.88671875" style="12"/>
    <col min="8" max="8" width="18.5546875" customWidth="1"/>
    <col min="11" max="11" width="8.88671875" style="12"/>
  </cols>
  <sheetData>
    <row r="1" spans="2:23" s="12" customFormat="1" x14ac:dyDescent="0.3"/>
    <row r="2" spans="2:23" s="12" customFormat="1" x14ac:dyDescent="0.3">
      <c r="C2" s="12" cm="1">
        <f t="array" ref="C2">_xlfn.IFS(J2=0,0,E2=0,0,V3=0,0,1=1,SUM(SUM(E2,J2,M3,V3)/3.5))</f>
        <v>0.27808166036271942</v>
      </c>
      <c r="E2" s="7">
        <f>IF(E4&lt;0.2,0.05,SUM(SUM(E4+E4+E4+F4+G4)/5))</f>
        <v>0.05</v>
      </c>
      <c r="J2" s="7">
        <f>IF(H4=0,0,IF(J4&lt;0.95,0.05,SUM(SUM(J4+J10+L4)/3)))</f>
        <v>0.05</v>
      </c>
    </row>
    <row r="3" spans="2:23" s="12" customFormat="1" x14ac:dyDescent="0.3">
      <c r="M3" s="11">
        <f>SUM(SUM(N3:U3)/2)</f>
        <v>0.2066191446028513</v>
      </c>
      <c r="N3" s="11">
        <f>IF(SUM(N5-N4)&lt;0,SUM(SUM(N5-N4)*-1),SUM(N5-N4))</f>
        <v>8.1466395112016199E-4</v>
      </c>
      <c r="O3" s="11">
        <f t="shared" ref="O3:U3" si="0">IF(SUM(O5-O4)&lt;0,SUM(SUM(O5-O4)*-1),SUM(O5-O4))</f>
        <v>1.9144602851323828E-2</v>
      </c>
      <c r="P3" s="11">
        <f t="shared" si="0"/>
        <v>2.6924643584521388E-2</v>
      </c>
      <c r="Q3" s="11">
        <f t="shared" si="0"/>
        <v>7.4949083503054958E-2</v>
      </c>
      <c r="R3" s="11">
        <f t="shared" si="0"/>
        <v>6.3543788187372718E-2</v>
      </c>
      <c r="S3" s="11">
        <f t="shared" si="0"/>
        <v>1.5641547861507125E-2</v>
      </c>
      <c r="T3" s="11">
        <f t="shared" si="0"/>
        <v>6.914460285132383E-2</v>
      </c>
      <c r="U3" s="11">
        <f t="shared" si="0"/>
        <v>0.14307535641547861</v>
      </c>
      <c r="V3" s="7">
        <f>SUM(SUM(V11,W11)/1.5)</f>
        <v>0.66666666666666663</v>
      </c>
    </row>
    <row r="4" spans="2:23" s="12" customFormat="1" x14ac:dyDescent="0.3">
      <c r="E4" s="12">
        <f>AVERAGE(_xlfn.XLOOKUP(D12,HabPlanet[Habitable],HabPlanet[Value],0,0,1),_xlfn.XLOOKUP(D13,HabPlanet[Habitable],HabPlanet[Value],0,0,1),_xlfn.XLOOKUP(D14,HabPlanet[Habitable],HabPlanet[Value],0,0,1))</f>
        <v>4.9999999999999996E-2</v>
      </c>
      <c r="F4" s="12" cm="1">
        <f t="array" ref="F4">_xlfn.IFS(F12&gt;4,0.15,F12&gt;3,0.3,F12&gt;2,0.45,F12&gt;1.5,0.5,1=1,1)</f>
        <v>1</v>
      </c>
      <c r="G4" s="12" cm="1">
        <f t="array" ref="G4">_xlfn.IFS(G12=G13,IF(G12=G14,1,0.5),G13=G14,IF(G13=G12,1,0.5),G12=G14,0.5,G13=G12,0.5,1=1,0.15)</f>
        <v>0.15</v>
      </c>
      <c r="H4" s="12">
        <f>IFERROR(SUM(E12/H10),0)</f>
        <v>36.622568807339455</v>
      </c>
      <c r="I4" s="12">
        <f>SUM(H4+I10+0.4)</f>
        <v>37.355902140672789</v>
      </c>
      <c r="J4" s="7">
        <f>SUM(4/I4)</f>
        <v>0.10707812610004763</v>
      </c>
      <c r="L4" s="12" cm="1">
        <f t="array" ref="L4">_xlfn.IFS(L10=M9,1,_xlfn.XLOOKUP(M9,Compatibility[Vessel],Compatibility[80% Compatible],0,0,1)=L10,0.8,_xlfn.XLOOKUP(M9,Compatibility[Vessel],Compatibility[90% Compatible],0.35,0,1)=L10,0.9,1=1,0.35)</f>
        <v>0.35</v>
      </c>
      <c r="M4" s="12">
        <f>SUM(N9:U9)</f>
        <v>1964</v>
      </c>
      <c r="N4" s="7">
        <f>SUM(N9/$M$4)</f>
        <v>0.10081466395112017</v>
      </c>
      <c r="O4" s="7">
        <f t="shared" ref="O4:U4" si="1">SUM(O9/$M$4)</f>
        <v>0.11914460285132383</v>
      </c>
      <c r="P4" s="7">
        <f t="shared" si="1"/>
        <v>0.10692464358452139</v>
      </c>
      <c r="Q4" s="7">
        <f t="shared" si="1"/>
        <v>0.27494908350305497</v>
      </c>
      <c r="R4" s="7">
        <f t="shared" si="1"/>
        <v>0.13645621181262729</v>
      </c>
      <c r="S4" s="7">
        <f t="shared" si="1"/>
        <v>3.5641547861507125E-2</v>
      </c>
      <c r="T4" s="7">
        <f t="shared" si="1"/>
        <v>0.11914460285132383</v>
      </c>
      <c r="U4" s="7">
        <f t="shared" si="1"/>
        <v>0.10692464358452139</v>
      </c>
      <c r="V4" s="12" t="s">
        <v>239</v>
      </c>
    </row>
    <row r="5" spans="2:23" s="12" customFormat="1" x14ac:dyDescent="0.3">
      <c r="E5" s="12" t="s">
        <v>311</v>
      </c>
      <c r="F5" s="12" t="s">
        <v>291</v>
      </c>
      <c r="G5" s="12" t="s">
        <v>310</v>
      </c>
      <c r="H5" s="12" t="s">
        <v>296</v>
      </c>
      <c r="I5" s="12" t="s">
        <v>297</v>
      </c>
      <c r="J5" s="12" t="s">
        <v>298</v>
      </c>
      <c r="L5" s="12" t="s">
        <v>309</v>
      </c>
      <c r="M5" s="12" t="str">
        <f>_xlfn.XLOOKUP(K10,Engine[Type],Engine[Crew Structure],0,1)</f>
        <v>B</v>
      </c>
      <c r="N5" s="7">
        <f>_xlfn.XLOOKUP($M$5,CREW[Crew Structure],CREW[Millitary])</f>
        <v>0.1</v>
      </c>
      <c r="O5" s="7">
        <f>_xlfn.XLOOKUP($M$5,CREW[Crew Structure],CREW[Scientist])</f>
        <v>0.1</v>
      </c>
      <c r="P5" s="7">
        <f>_xlfn.XLOOKUP($M$5,CREW[Crew Structure],CREW[Medical])</f>
        <v>0.08</v>
      </c>
      <c r="Q5" s="7">
        <f>_xlfn.XLOOKUP($M$5,CREW[Crew Structure],CREW[Engineers])</f>
        <v>0.2</v>
      </c>
      <c r="R5" s="7">
        <f>_xlfn.XLOOKUP($M$5,CREW[Crew Structure],CREW[Technicians])</f>
        <v>0.2</v>
      </c>
      <c r="S5" s="7">
        <f>_xlfn.XLOOKUP($M$5,CREW[Crew Structure],CREW[Artists])</f>
        <v>0.02</v>
      </c>
      <c r="T5" s="7">
        <f>_xlfn.XLOOKUP($M$5,CREW[Crew Structure],CREW[Psychologists])</f>
        <v>0.05</v>
      </c>
      <c r="U5" s="7">
        <f>_xlfn.XLOOKUP($M$5,CREW[Crew Structure],CREW[Laborer])</f>
        <v>0.25</v>
      </c>
    </row>
    <row r="6" spans="2:23" s="12" customFormat="1" x14ac:dyDescent="0.3"/>
    <row r="7" spans="2:23" x14ac:dyDescent="0.3">
      <c r="D7" s="20" t="s">
        <v>150</v>
      </c>
      <c r="E7" s="20"/>
      <c r="F7" s="20"/>
      <c r="G7" s="21"/>
      <c r="H7" s="17" t="s">
        <v>241</v>
      </c>
      <c r="I7" s="17"/>
      <c r="J7" s="17"/>
      <c r="K7" s="17"/>
      <c r="L7" s="17"/>
      <c r="M7" s="19" t="s">
        <v>240</v>
      </c>
      <c r="N7" s="19"/>
      <c r="O7" s="19"/>
      <c r="P7" s="19"/>
      <c r="Q7" s="19"/>
      <c r="R7" s="19"/>
      <c r="S7" s="19"/>
      <c r="T7" s="19"/>
      <c r="U7" s="19"/>
      <c r="V7" t="s">
        <v>239</v>
      </c>
    </row>
    <row r="8" spans="2:23" x14ac:dyDescent="0.3">
      <c r="B8" t="s">
        <v>274</v>
      </c>
      <c r="C8" t="s">
        <v>285</v>
      </c>
      <c r="D8" t="s">
        <v>166</v>
      </c>
      <c r="E8" t="s">
        <v>290</v>
      </c>
      <c r="F8" t="s">
        <v>291</v>
      </c>
      <c r="G8" s="12" t="s">
        <v>187</v>
      </c>
      <c r="H8" t="s">
        <v>292</v>
      </c>
      <c r="I8" t="s">
        <v>293</v>
      </c>
      <c r="J8" s="12" t="s">
        <v>294</v>
      </c>
      <c r="K8" s="12" t="s">
        <v>300</v>
      </c>
      <c r="L8" s="12" t="s">
        <v>288</v>
      </c>
      <c r="M8" s="12" t="s">
        <v>289</v>
      </c>
      <c r="N8" s="12" t="s">
        <v>286</v>
      </c>
      <c r="O8" s="12" t="s">
        <v>287</v>
      </c>
      <c r="P8" s="12" t="s">
        <v>238</v>
      </c>
      <c r="Q8" t="s">
        <v>244</v>
      </c>
      <c r="R8" t="s">
        <v>245</v>
      </c>
      <c r="S8" t="s">
        <v>263</v>
      </c>
      <c r="T8" t="s">
        <v>246</v>
      </c>
      <c r="U8" t="s">
        <v>261</v>
      </c>
      <c r="V8" t="s">
        <v>268</v>
      </c>
      <c r="W8" t="s">
        <v>269</v>
      </c>
    </row>
    <row r="9" spans="2:23" x14ac:dyDescent="0.3">
      <c r="B9" t="s">
        <v>240</v>
      </c>
      <c r="C9" t="str">
        <f>Plan!L9</f>
        <v>Axumite</v>
      </c>
      <c r="D9">
        <f>_xlfn.XLOOKUP(C9,Planets[Planet],Planets[Habitable],0,0,1)</f>
        <v>0</v>
      </c>
      <c r="E9" cm="1">
        <f t="array" ref="E9">_xlfn.XLOOKUP(C9,Planets[Planet],Planets[],0,0,1)</f>
        <v>0</v>
      </c>
      <c r="F9">
        <f>_xlfn.XLOOKUP(C9,Planets[Planet],Planets[Surface Gravity],0,0,1)</f>
        <v>0</v>
      </c>
      <c r="G9" s="12">
        <f>_xlfn.XLOOKUP(C9,Planets[Planet],Planets[Star System],0,0,1)</f>
        <v>0</v>
      </c>
      <c r="H9">
        <f>_xlfn.XLOOKUP(C9,Engine[Engine Name],Engine[LY Speed],0,0,1)</f>
        <v>0</v>
      </c>
      <c r="I9">
        <f>_xlfn.XLOOKUP(C9,Engine[Engine Name],Engine[Time to manufacture (Months)],0,0,1)</f>
        <v>0</v>
      </c>
      <c r="J9">
        <f>_xlfn.XLOOKUP(C9,Engine[Engine Name],Engine[Probability of Manufacture success],0,0,1)</f>
        <v>0</v>
      </c>
      <c r="L9">
        <f>_xlfn.XLOOKUP(C9,Engine[Engine Name],Engine[Vessel Compatibility 100%],0,0,1)</f>
        <v>0</v>
      </c>
      <c r="M9" t="str">
        <f>_xlfn.XLOOKUP(C9,Vessel[Name],Vessel[Type],0,0,1)</f>
        <v>Probe</v>
      </c>
      <c r="N9" s="12">
        <f>_xlfn.XLOOKUP(C9,Vessel[Name],Vessel[Military],0,0,1)</f>
        <v>198</v>
      </c>
      <c r="O9" s="12">
        <f>_xlfn.XLOOKUP(C9,Vessel[Name],Vessel[Scientists],0,0,1)</f>
        <v>234</v>
      </c>
      <c r="P9" s="12">
        <f>_xlfn.XLOOKUP(C9,Vessel[Name],Vessel[Medical],0,0,1)</f>
        <v>210</v>
      </c>
      <c r="Q9" s="12">
        <f>_xlfn.XLOOKUP(C9,Vessel[Name],Vessel[Engineers],0,0,1)</f>
        <v>540</v>
      </c>
      <c r="R9" s="12">
        <f>_xlfn.XLOOKUP(C9,Vessel[Name],Vessel[Technicians],0,0,1)</f>
        <v>268</v>
      </c>
      <c r="S9" s="12">
        <f>_xlfn.XLOOKUP(C9,Vessel[Name],Vessel[Artists],0,0,1)</f>
        <v>70</v>
      </c>
      <c r="T9" s="12">
        <f>_xlfn.XLOOKUP(C9,Vessel[Name],Vessel[Psychologists],0,0,1)</f>
        <v>234</v>
      </c>
      <c r="U9">
        <f>_xlfn.XLOOKUP(C9,Vessel[Name],Vessel[Laborer],0,0,1)</f>
        <v>210</v>
      </c>
    </row>
    <row r="10" spans="2:23" x14ac:dyDescent="0.3">
      <c r="B10" t="s">
        <v>241</v>
      </c>
      <c r="C10" t="str">
        <f>Plan!L11</f>
        <v>SpockDrive</v>
      </c>
      <c r="D10" s="12">
        <f>_xlfn.XLOOKUP(C10,Planets[Planet],Planets[Habitable],0,0,1)</f>
        <v>0</v>
      </c>
      <c r="E10" s="12" cm="1">
        <f t="array" ref="E10">_xlfn.XLOOKUP(C10,Planets[Planet],Planets[],0,0,1)</f>
        <v>0</v>
      </c>
      <c r="F10" s="12">
        <f>_xlfn.XLOOKUP(C10,Planets[Planet],Planets[Surface Gravity],0,0,1)</f>
        <v>0</v>
      </c>
      <c r="G10" s="12">
        <f>_xlfn.XLOOKUP(C10,Planets[Planet],Planets[Star System],0,0,1)</f>
        <v>0</v>
      </c>
      <c r="H10" s="12">
        <f>_xlfn.XLOOKUP(C10,Engine[Engine Name],Engine[LY Speed],0,0,1)</f>
        <v>0.16268656716417909</v>
      </c>
      <c r="I10" s="12">
        <f>SUM(_xlfn.XLOOKUP(C10,Engine[Engine Name],Engine[Time to manufacture (Months)],0,0,1)/12)</f>
        <v>0.33333333333333331</v>
      </c>
      <c r="J10" s="12">
        <f>_xlfn.XLOOKUP(C10,Engine[Engine Name],Engine[Probability of Manufacture success],0,0,1)</f>
        <v>0.99</v>
      </c>
      <c r="K10" s="12" t="str">
        <f>_xlfn.XLOOKUP(C10,Engine[Engine Name],Engine[Type],0,0,1)</f>
        <v>Light Speed Engine</v>
      </c>
      <c r="L10" s="12" t="str">
        <f>_xlfn.XLOOKUP(C10,Engine[Engine Name],Engine[Vessel Compatibility 100%],0,0,1)</f>
        <v>Cube</v>
      </c>
    </row>
    <row r="11" spans="2:23" x14ac:dyDescent="0.3">
      <c r="B11" t="s">
        <v>239</v>
      </c>
      <c r="C11" t="str">
        <f>Plan!L13</f>
        <v>Tactical Laser ISM Tracking</v>
      </c>
      <c r="D11" s="12">
        <f>_xlfn.XLOOKUP(C11,Planets[Planet],Planets[Habitable],0,0,1)</f>
        <v>0</v>
      </c>
      <c r="E11" s="12" cm="1">
        <f t="array" ref="E11">_xlfn.XLOOKUP(C11,Planets[Planet],Planets[],0,0,1)</f>
        <v>0</v>
      </c>
      <c r="F11" s="12">
        <f>_xlfn.XLOOKUP(C11,Planets[Planet],Planets[Surface Gravity],0,0,1)</f>
        <v>0</v>
      </c>
      <c r="G11" s="12">
        <f>_xlfn.XLOOKUP(C11,Planets[Planet],Planets[Star System],0,0,1)</f>
        <v>0</v>
      </c>
      <c r="V11">
        <f>IF(_xlfn.XLOOKUP(C11,Shield[Shielding],Shield[Partical Defense],0,0,1)&lt;0.5,0.1,_xlfn.XLOOKUP(C11,Shield[Shielding],Shield[Partical Defense],0,0,1))</f>
        <v>0.9</v>
      </c>
      <c r="W11">
        <f>IF(_xlfn.XLOOKUP(C11,Shield[Shielding],Shield[Radiation Defense],0,0,1)&lt;0.5, 0.1,_xlfn.XLOOKUP(C11,Shield[Shielding],Shield[Radiation Defense],0,0,1))</f>
        <v>0.1</v>
      </c>
    </row>
    <row r="12" spans="2:23" x14ac:dyDescent="0.3">
      <c r="B12" t="s">
        <v>275</v>
      </c>
      <c r="C12" t="str">
        <f>Plan!L17</f>
        <v>Barnard's Star b</v>
      </c>
      <c r="D12" s="12" t="b">
        <f>_xlfn.XLOOKUP(C12,Planets[Planet],Planets[Habitable],0,0,1)</f>
        <v>0</v>
      </c>
      <c r="E12" s="12">
        <f>_xlfn.XLOOKUP(C12,Planets[Planet],Planets[Distance (LY)],0,0,1)</f>
        <v>5.9580000000000002</v>
      </c>
      <c r="F12" s="12">
        <f>_xlfn.XLOOKUP(C12,Planets[Planet],Planets[Surface Gravity],0,0,1)</f>
        <v>0</v>
      </c>
      <c r="G12" s="12" t="str">
        <f>_xlfn.XLOOKUP(C12,Planets[Planet],Planets[Star System],0,0,1)</f>
        <v>Barnard's Star</v>
      </c>
    </row>
    <row r="13" spans="2:23" x14ac:dyDescent="0.3">
      <c r="B13" t="s">
        <v>276</v>
      </c>
      <c r="C13" t="str">
        <f>Plan!L19</f>
        <v>Wolf 359 b</v>
      </c>
      <c r="D13" s="12" t="str">
        <f>_xlfn.XLOOKUP(C13,Planets[Planet],Planets[Habitable],0,0,1)</f>
        <v>Improbable</v>
      </c>
      <c r="E13" s="12">
        <f>_xlfn.XLOOKUP(C13,Planets[Planet],Planets[Distance (LY)],0,0,1)</f>
        <v>7.8559999999999999</v>
      </c>
      <c r="F13" s="12">
        <f>_xlfn.XLOOKUP(C13,Planets[Planet],Planets[Surface Gravity],0,0,1)</f>
        <v>0</v>
      </c>
      <c r="G13" s="12" t="str">
        <f>_xlfn.XLOOKUP(C13,Planets[Planet],Planets[Star System],0,0,1)</f>
        <v>Wolf 359</v>
      </c>
    </row>
    <row r="14" spans="2:23" x14ac:dyDescent="0.3">
      <c r="B14" t="s">
        <v>277</v>
      </c>
      <c r="C14" t="str">
        <f>Plan!L21</f>
        <v>TRAPPIST-1 h</v>
      </c>
      <c r="D14" s="12" t="b">
        <f>_xlfn.XLOOKUP(C14,Planets[Planet],Planets[Habitable],0,0,1)</f>
        <v>0</v>
      </c>
      <c r="E14" s="12">
        <f>_xlfn.XLOOKUP(C14,Planets[Planet],Planets[Distance (LY)],0,0,1)</f>
        <v>39.5</v>
      </c>
      <c r="F14" s="12">
        <f>_xlfn.XLOOKUP(C14,Planets[Planet],Planets[Surface Gravity],0,0,1)</f>
        <v>0</v>
      </c>
      <c r="G14" s="12" t="str">
        <f>_xlfn.XLOOKUP(C14,Planets[Planet],Planets[Star System],0,0,1)</f>
        <v>TRAPPIST-1</v>
      </c>
    </row>
  </sheetData>
  <sheetProtection algorithmName="SHA-512" hashValue="f43R76rE2a10Gv/+1uA4VuMw99rY96NNb/UPcXFaZDhVsEk8ZMRiKaiCiWZePqwX3Ts7Apgs8WAaxxHMCCeeBA==" saltValue="q7PoRTr0lDvZbss7J4Hpig==" spinCount="100000" sheet="1" objects="1" scenarios="1"/>
  <mergeCells count="3">
    <mergeCell ref="D7:F7"/>
    <mergeCell ref="H7:L7"/>
    <mergeCell ref="M7:U7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E9094-E32E-4832-9CBE-2068C80D3F0F}">
  <dimension ref="B3:T8"/>
  <sheetViews>
    <sheetView topLeftCell="E1" workbookViewId="0">
      <selection activeCell="J16" sqref="J16"/>
    </sheetView>
  </sheetViews>
  <sheetFormatPr defaultRowHeight="14.4" x14ac:dyDescent="0.3"/>
  <cols>
    <col min="2" max="2" width="10.6640625" customWidth="1"/>
    <col min="6" max="6" width="16.33203125" bestFit="1" customWidth="1"/>
    <col min="7" max="8" width="16.109375" customWidth="1"/>
    <col min="11" max="11" width="15" customWidth="1"/>
    <col min="12" max="12" width="9.5546875" customWidth="1"/>
    <col min="13" max="13" width="9.6640625" customWidth="1"/>
    <col min="14" max="14" width="9.33203125" customWidth="1"/>
    <col min="15" max="15" width="10.6640625" customWidth="1"/>
    <col min="16" max="16" width="12.33203125" customWidth="1"/>
    <col min="18" max="18" width="13.6640625" customWidth="1"/>
    <col min="19" max="19" width="9.21875" customWidth="1"/>
    <col min="20" max="20" width="10.109375" customWidth="1"/>
  </cols>
  <sheetData>
    <row r="3" spans="2:20" x14ac:dyDescent="0.3">
      <c r="B3" t="s">
        <v>166</v>
      </c>
      <c r="C3" t="s">
        <v>278</v>
      </c>
      <c r="F3" t="s">
        <v>240</v>
      </c>
      <c r="G3" t="s">
        <v>301</v>
      </c>
      <c r="H3" t="s">
        <v>302</v>
      </c>
      <c r="K3" t="s">
        <v>303</v>
      </c>
      <c r="L3" s="12" t="s">
        <v>286</v>
      </c>
      <c r="M3" s="12" t="s">
        <v>287</v>
      </c>
      <c r="N3" s="12" t="s">
        <v>238</v>
      </c>
      <c r="O3" s="12" t="s">
        <v>244</v>
      </c>
      <c r="P3" s="12" t="s">
        <v>245</v>
      </c>
      <c r="Q3" s="12" t="s">
        <v>263</v>
      </c>
      <c r="R3" s="12" t="s">
        <v>246</v>
      </c>
      <c r="S3" s="12" t="s">
        <v>261</v>
      </c>
      <c r="T3" t="s">
        <v>264</v>
      </c>
    </row>
    <row r="4" spans="2:20" x14ac:dyDescent="0.3">
      <c r="B4" t="b">
        <v>1</v>
      </c>
      <c r="C4">
        <v>0.9</v>
      </c>
      <c r="F4" t="s">
        <v>232</v>
      </c>
      <c r="G4" t="s">
        <v>234</v>
      </c>
      <c r="H4" t="s">
        <v>235</v>
      </c>
      <c r="K4" t="s">
        <v>304</v>
      </c>
      <c r="L4">
        <v>0.15</v>
      </c>
      <c r="M4">
        <v>0.12</v>
      </c>
      <c r="N4">
        <v>0.08</v>
      </c>
      <c r="O4">
        <v>0.15</v>
      </c>
      <c r="P4">
        <v>0.15</v>
      </c>
      <c r="Q4">
        <v>0.05</v>
      </c>
      <c r="R4">
        <v>0.05</v>
      </c>
      <c r="S4">
        <v>0.25</v>
      </c>
      <c r="T4">
        <f>SUM(L4:S4)</f>
        <v>1</v>
      </c>
    </row>
    <row r="5" spans="2:20" x14ac:dyDescent="0.3">
      <c r="B5" t="s">
        <v>273</v>
      </c>
      <c r="C5">
        <v>0.75</v>
      </c>
      <c r="F5" t="s">
        <v>233</v>
      </c>
      <c r="G5" t="s">
        <v>235</v>
      </c>
      <c r="H5" t="s">
        <v>234</v>
      </c>
      <c r="K5" t="s">
        <v>306</v>
      </c>
      <c r="L5" s="12">
        <v>0.1</v>
      </c>
      <c r="M5" s="12">
        <v>0.1</v>
      </c>
      <c r="N5" s="12">
        <v>0.08</v>
      </c>
      <c r="O5" s="12">
        <v>0.2</v>
      </c>
      <c r="P5" s="12">
        <v>0.2</v>
      </c>
      <c r="Q5" s="12">
        <v>0.02</v>
      </c>
      <c r="R5" s="12">
        <v>0.05</v>
      </c>
      <c r="S5" s="12">
        <v>0.25</v>
      </c>
      <c r="T5" s="12">
        <f t="shared" ref="T5:T8" si="0">SUM(L5:S5)</f>
        <v>1</v>
      </c>
    </row>
    <row r="6" spans="2:20" x14ac:dyDescent="0.3">
      <c r="B6" t="s">
        <v>271</v>
      </c>
      <c r="C6">
        <v>0.15</v>
      </c>
      <c r="F6" t="s">
        <v>234</v>
      </c>
      <c r="H6" t="s">
        <v>232</v>
      </c>
      <c r="K6" t="s">
        <v>305</v>
      </c>
      <c r="L6" s="12">
        <v>0.2</v>
      </c>
      <c r="M6" s="12">
        <v>0.05</v>
      </c>
      <c r="N6" s="12">
        <v>0.05</v>
      </c>
      <c r="O6" s="12">
        <v>0.1</v>
      </c>
      <c r="P6" s="12">
        <v>0.25</v>
      </c>
      <c r="Q6" s="12">
        <v>0.03</v>
      </c>
      <c r="R6" s="12">
        <v>0.02</v>
      </c>
      <c r="S6" s="12">
        <v>0.3</v>
      </c>
      <c r="T6" s="12">
        <f t="shared" si="0"/>
        <v>1</v>
      </c>
    </row>
    <row r="7" spans="2:20" x14ac:dyDescent="0.3">
      <c r="B7" t="s">
        <v>272</v>
      </c>
      <c r="C7">
        <v>0.25</v>
      </c>
      <c r="F7" t="s">
        <v>235</v>
      </c>
      <c r="G7" t="s">
        <v>233</v>
      </c>
      <c r="H7" t="s">
        <v>232</v>
      </c>
      <c r="K7" t="s">
        <v>307</v>
      </c>
      <c r="L7" s="12">
        <v>0.21</v>
      </c>
      <c r="M7" s="12">
        <v>0.02</v>
      </c>
      <c r="N7" s="12">
        <v>0.05</v>
      </c>
      <c r="O7" s="12">
        <v>0.1</v>
      </c>
      <c r="P7" s="12">
        <v>0.3</v>
      </c>
      <c r="Q7" s="12">
        <v>0</v>
      </c>
      <c r="R7" s="12">
        <v>0.01</v>
      </c>
      <c r="S7" s="12">
        <v>0.31</v>
      </c>
      <c r="T7" s="12">
        <f t="shared" si="0"/>
        <v>1</v>
      </c>
    </row>
    <row r="8" spans="2:20" x14ac:dyDescent="0.3">
      <c r="B8" t="b">
        <v>0</v>
      </c>
      <c r="C8">
        <v>0</v>
      </c>
      <c r="K8" t="s">
        <v>308</v>
      </c>
      <c r="L8" s="12">
        <v>0.22</v>
      </c>
      <c r="M8" s="12">
        <v>0</v>
      </c>
      <c r="N8" s="12">
        <v>0.05</v>
      </c>
      <c r="O8" s="12">
        <v>0.1</v>
      </c>
      <c r="P8" s="12">
        <v>0.3</v>
      </c>
      <c r="Q8" s="12">
        <v>0</v>
      </c>
      <c r="R8" s="12">
        <v>0.01</v>
      </c>
      <c r="S8" s="12">
        <v>0.32</v>
      </c>
      <c r="T8" s="12">
        <f t="shared" si="0"/>
        <v>1</v>
      </c>
    </row>
  </sheetData>
  <sheetProtection algorithmName="SHA-512" hashValue="iqzfivFcRjP2y7Lx+DUw9FKiXJM4RCS8wlgnN4gJmbYs58QYuHER8Fseycn8c/oPT7EruFd1WVtDdFi0vTDIlw==" saltValue="eEumLFk2dBzSBNUk32hYDQ==" spinCount="100000" sheet="1" objects="1" scenarios="1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Plan</vt:lpstr>
      <vt:lpstr>Exo-Planets</vt:lpstr>
      <vt:lpstr>Stellar_Sytems</vt:lpstr>
      <vt:lpstr>Vessel</vt:lpstr>
      <vt:lpstr>Shielding</vt:lpstr>
      <vt:lpstr>Engine</vt:lpstr>
      <vt:lpstr>Calculator</vt:lpstr>
      <vt:lpstr>RefData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 Gauer</dc:creator>
  <cp:lastModifiedBy>Curtis Thompson</cp:lastModifiedBy>
  <dcterms:created xsi:type="dcterms:W3CDTF">2022-08-29T18:34:41Z</dcterms:created>
  <dcterms:modified xsi:type="dcterms:W3CDTF">2023-03-13T02:48:35Z</dcterms:modified>
</cp:coreProperties>
</file>